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8870" windowHeight="7815" activeTab="1"/>
  </bookViews>
  <sheets>
    <sheet name="Data Input" sheetId="1" r:id="rId1"/>
    <sheet name="Revenues" sheetId="2" r:id="rId2"/>
    <sheet name="Expenditures" sheetId="3" r:id="rId3"/>
    <sheet name="Position" sheetId="4" r:id="rId4"/>
    <sheet name="Obligations" sheetId="5" r:id="rId5"/>
    <sheet name="F-65 Cross-walk" sheetId="6" r:id="rId6"/>
  </sheets>
  <definedNames>
    <definedName name="_xlnm.Print_Area" localSheetId="0">'Data Input'!$A$1:$H$72</definedName>
    <definedName name="_xlnm.Print_Area" localSheetId="2">Expenditures!$A$1:$N$42</definedName>
    <definedName name="_xlnm.Print_Area" localSheetId="5">'F-65 Cross-walk'!$A$1:$H$135</definedName>
    <definedName name="_xlnm.Print_Area" localSheetId="4">Obligations!$A$1:$W$38</definedName>
    <definedName name="_xlnm.Print_Area" localSheetId="3">Position!$A$1:$O$38</definedName>
    <definedName name="_xlnm.Print_Area" localSheetId="1">Revenues!$A$1:$N$38</definedName>
    <definedName name="_xlnm.Print_Titles" localSheetId="0">'Data Input'!$1:$3</definedName>
    <definedName name="_xlnm.Print_Titles" localSheetId="5">'F-65 Cross-walk'!$1:$1</definedName>
  </definedNames>
  <calcPr calcId="145621" fullCalcOnLoad="1"/>
</workbook>
</file>

<file path=xl/calcChain.xml><?xml version="1.0" encoding="utf-8"?>
<calcChain xmlns="http://schemas.openxmlformats.org/spreadsheetml/2006/main">
  <c r="F72" i="6" l="1"/>
  <c r="D16" i="1"/>
  <c r="K31" i="2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F24" i="5"/>
  <c r="G24" i="5"/>
  <c r="D25" i="5"/>
  <c r="E25" i="5"/>
  <c r="F25" i="5"/>
  <c r="G25" i="5"/>
  <c r="B21" i="5"/>
  <c r="B22" i="5"/>
  <c r="B23" i="5"/>
  <c r="B24" i="5"/>
  <c r="B25" i="5"/>
  <c r="C24" i="5"/>
  <c r="C23" i="5"/>
  <c r="C22" i="5"/>
  <c r="C21" i="5"/>
  <c r="S21" i="5"/>
  <c r="S22" i="5"/>
  <c r="S23" i="5"/>
  <c r="S24" i="5"/>
  <c r="S25" i="5"/>
  <c r="R25" i="5"/>
  <c r="R24" i="5"/>
  <c r="R23" i="5"/>
  <c r="R22" i="5"/>
  <c r="R21" i="5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6" i="1"/>
  <c r="G56" i="1"/>
  <c r="H55" i="1"/>
  <c r="G55" i="1"/>
  <c r="H54" i="1"/>
  <c r="G54" i="1"/>
  <c r="H50" i="1"/>
  <c r="G50" i="1"/>
  <c r="H49" i="1"/>
  <c r="G49" i="1"/>
  <c r="H48" i="1"/>
  <c r="G48" i="1"/>
  <c r="H45" i="1"/>
  <c r="G45" i="1"/>
  <c r="H44" i="1"/>
  <c r="G44" i="1"/>
  <c r="H43" i="1"/>
  <c r="G43" i="1"/>
  <c r="H42" i="1"/>
  <c r="G42" i="1"/>
  <c r="Q24" i="5"/>
  <c r="Q23" i="5"/>
  <c r="Q22" i="5"/>
  <c r="Q21" i="5"/>
  <c r="H38" i="1"/>
  <c r="G38" i="1"/>
  <c r="H37" i="1"/>
  <c r="G37" i="1"/>
  <c r="H36" i="1"/>
  <c r="G36" i="1"/>
  <c r="H35" i="1"/>
  <c r="G35" i="1"/>
  <c r="H34" i="1"/>
  <c r="G34" i="1"/>
  <c r="H33" i="1"/>
  <c r="G33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H6" i="1"/>
  <c r="G6" i="1"/>
  <c r="L15" i="4"/>
  <c r="K15" i="4"/>
  <c r="K11" i="4"/>
  <c r="L11" i="4"/>
  <c r="K12" i="4"/>
  <c r="L12" i="4"/>
  <c r="K13" i="4"/>
  <c r="L13" i="4"/>
  <c r="K14" i="4"/>
  <c r="L14" i="4"/>
  <c r="L10" i="4"/>
  <c r="K10" i="4"/>
  <c r="L6" i="4"/>
  <c r="K6" i="4"/>
  <c r="L15" i="2"/>
  <c r="K15" i="2"/>
  <c r="J15" i="2"/>
  <c r="I14" i="2"/>
  <c r="C15" i="1"/>
  <c r="D15" i="1"/>
  <c r="E15" i="1"/>
  <c r="F15" i="1"/>
  <c r="C16" i="1"/>
  <c r="E16" i="1"/>
  <c r="F16" i="1"/>
  <c r="B15" i="1"/>
  <c r="B16" i="1"/>
  <c r="I31" i="2"/>
  <c r="I32" i="2"/>
  <c r="A29" i="1"/>
  <c r="C29" i="1"/>
  <c r="D29" i="1"/>
  <c r="E29" i="1"/>
  <c r="F29" i="1"/>
  <c r="B29" i="1"/>
  <c r="H30" i="2"/>
  <c r="I13" i="2"/>
  <c r="B14" i="1"/>
  <c r="I30" i="2"/>
  <c r="C14" i="1"/>
  <c r="J30" i="2"/>
  <c r="D14" i="1"/>
  <c r="K30" i="2"/>
  <c r="E14" i="1"/>
  <c r="L30" i="2"/>
  <c r="F14" i="1"/>
  <c r="M31" i="2"/>
  <c r="H132" i="6"/>
  <c r="G132" i="6"/>
  <c r="H131" i="6"/>
  <c r="G131" i="6"/>
  <c r="H130" i="6"/>
  <c r="G130" i="6"/>
  <c r="H144" i="6"/>
  <c r="H148" i="6"/>
  <c r="H143" i="6"/>
  <c r="H142" i="6"/>
  <c r="G144" i="6"/>
  <c r="G143" i="6"/>
  <c r="G142" i="6"/>
  <c r="E148" i="6"/>
  <c r="F148" i="6"/>
  <c r="G148" i="6"/>
  <c r="E149" i="6"/>
  <c r="D148" i="6"/>
  <c r="D137" i="6"/>
  <c r="D140" i="6"/>
  <c r="E140" i="6"/>
  <c r="E137" i="6"/>
  <c r="F137" i="6"/>
  <c r="F149" i="6"/>
  <c r="G137" i="6"/>
  <c r="G140" i="6"/>
  <c r="H137" i="6"/>
  <c r="H140" i="6"/>
  <c r="H72" i="6"/>
  <c r="G72" i="6"/>
  <c r="B58" i="1"/>
  <c r="F58" i="1"/>
  <c r="E58" i="1"/>
  <c r="D61" i="1"/>
  <c r="D66" i="1"/>
  <c r="B3" i="1"/>
  <c r="B4" i="4"/>
  <c r="C3" i="1"/>
  <c r="D3" i="1"/>
  <c r="D4" i="4"/>
  <c r="E3" i="1"/>
  <c r="F3" i="1"/>
  <c r="B6" i="1"/>
  <c r="I22" i="2"/>
  <c r="C6" i="1"/>
  <c r="D6" i="1"/>
  <c r="K22" i="2"/>
  <c r="E6" i="1"/>
  <c r="F6" i="1"/>
  <c r="B7" i="1"/>
  <c r="C7" i="1"/>
  <c r="D7" i="1"/>
  <c r="E7" i="1"/>
  <c r="L23" i="2"/>
  <c r="F7" i="1"/>
  <c r="B8" i="1"/>
  <c r="I24" i="2"/>
  <c r="C8" i="1"/>
  <c r="D8" i="1"/>
  <c r="K24" i="2"/>
  <c r="E8" i="1"/>
  <c r="F8" i="1"/>
  <c r="M24" i="2"/>
  <c r="B9" i="1"/>
  <c r="C9" i="1"/>
  <c r="J25" i="2"/>
  <c r="D9" i="1"/>
  <c r="E9" i="1"/>
  <c r="L25" i="2"/>
  <c r="F9" i="1"/>
  <c r="B10" i="1"/>
  <c r="I26" i="2"/>
  <c r="C10" i="1"/>
  <c r="D10" i="1"/>
  <c r="K26" i="2"/>
  <c r="E10" i="1"/>
  <c r="F10" i="1"/>
  <c r="B11" i="1"/>
  <c r="C11" i="1"/>
  <c r="J27" i="2"/>
  <c r="D11" i="1"/>
  <c r="K27" i="2"/>
  <c r="K32" i="2"/>
  <c r="E11" i="1"/>
  <c r="L27" i="2"/>
  <c r="F11" i="1"/>
  <c r="B12" i="1"/>
  <c r="I28" i="2"/>
  <c r="C12" i="1"/>
  <c r="D12" i="1"/>
  <c r="K28" i="2"/>
  <c r="E12" i="1"/>
  <c r="F12" i="1"/>
  <c r="M28" i="2"/>
  <c r="B13" i="1"/>
  <c r="C13" i="1"/>
  <c r="J29" i="2"/>
  <c r="D13" i="1"/>
  <c r="K29" i="2"/>
  <c r="E13" i="1"/>
  <c r="L29" i="2"/>
  <c r="F13" i="1"/>
  <c r="J31" i="2"/>
  <c r="L31" i="2"/>
  <c r="B19" i="1"/>
  <c r="C19" i="1"/>
  <c r="D19" i="1"/>
  <c r="E19" i="1"/>
  <c r="L25" i="3"/>
  <c r="L36" i="3"/>
  <c r="F19" i="1"/>
  <c r="K5" i="3"/>
  <c r="B20" i="1"/>
  <c r="C20" i="1"/>
  <c r="J26" i="3"/>
  <c r="D20" i="1"/>
  <c r="E20" i="1"/>
  <c r="J6" i="3"/>
  <c r="F20" i="1"/>
  <c r="K6" i="3"/>
  <c r="B21" i="1"/>
  <c r="I27" i="3"/>
  <c r="C21" i="1"/>
  <c r="D21" i="1"/>
  <c r="K27" i="3"/>
  <c r="E21" i="1"/>
  <c r="J7" i="3"/>
  <c r="F21" i="1"/>
  <c r="M27" i="3"/>
  <c r="B22" i="1"/>
  <c r="C22" i="1"/>
  <c r="J28" i="3"/>
  <c r="D22" i="1"/>
  <c r="E22" i="1"/>
  <c r="J8" i="3"/>
  <c r="F22" i="1"/>
  <c r="K8" i="3"/>
  <c r="B23" i="1"/>
  <c r="I29" i="3"/>
  <c r="C23" i="1"/>
  <c r="D23" i="1"/>
  <c r="K29" i="3"/>
  <c r="E23" i="1"/>
  <c r="J9" i="3"/>
  <c r="F23" i="1"/>
  <c r="M29" i="3"/>
  <c r="B24" i="1"/>
  <c r="C24" i="1"/>
  <c r="D24" i="1"/>
  <c r="E24" i="1"/>
  <c r="J10" i="3"/>
  <c r="F24" i="1"/>
  <c r="K10" i="3"/>
  <c r="B25" i="1"/>
  <c r="C25" i="1"/>
  <c r="J31" i="3"/>
  <c r="D25" i="1"/>
  <c r="E25" i="1"/>
  <c r="L31" i="3"/>
  <c r="F25" i="1"/>
  <c r="K11" i="3"/>
  <c r="B26" i="1"/>
  <c r="C26" i="1"/>
  <c r="J32" i="3"/>
  <c r="D26" i="1"/>
  <c r="E26" i="1"/>
  <c r="J12" i="3"/>
  <c r="F26" i="1"/>
  <c r="K12" i="3"/>
  <c r="B27" i="1"/>
  <c r="C27" i="1"/>
  <c r="D27" i="1"/>
  <c r="E27" i="1"/>
  <c r="J13" i="3"/>
  <c r="F27" i="1"/>
  <c r="K13" i="3"/>
  <c r="B28" i="1"/>
  <c r="I34" i="3"/>
  <c r="C28" i="1"/>
  <c r="D28" i="1"/>
  <c r="K34" i="3"/>
  <c r="E28" i="1"/>
  <c r="J14" i="3"/>
  <c r="F28" i="1"/>
  <c r="M34" i="3"/>
  <c r="J35" i="3"/>
  <c r="L35" i="3"/>
  <c r="K15" i="3"/>
  <c r="B33" i="1"/>
  <c r="C33" i="1"/>
  <c r="K20" i="4"/>
  <c r="D33" i="1"/>
  <c r="E33" i="1"/>
  <c r="F33" i="1"/>
  <c r="B34" i="1"/>
  <c r="C34" i="1"/>
  <c r="D34" i="1"/>
  <c r="E34" i="1"/>
  <c r="F34" i="1"/>
  <c r="B35" i="1"/>
  <c r="J22" i="4"/>
  <c r="C35" i="1"/>
  <c r="D35" i="1"/>
  <c r="L22" i="4"/>
  <c r="E35" i="1"/>
  <c r="F35" i="1"/>
  <c r="B36" i="1"/>
  <c r="C36" i="1"/>
  <c r="K23" i="4"/>
  <c r="D36" i="1"/>
  <c r="E36" i="1"/>
  <c r="M23" i="4"/>
  <c r="F36" i="1"/>
  <c r="B37" i="1"/>
  <c r="C37" i="1"/>
  <c r="K24" i="4"/>
  <c r="D37" i="1"/>
  <c r="E37" i="1"/>
  <c r="F37" i="1"/>
  <c r="B44" i="1"/>
  <c r="C44" i="1"/>
  <c r="D44" i="1"/>
  <c r="E44" i="1"/>
  <c r="F44" i="1"/>
  <c r="B45" i="1"/>
  <c r="C45" i="1"/>
  <c r="D45" i="1"/>
  <c r="E45" i="1"/>
  <c r="F45" i="1"/>
  <c r="B50" i="1"/>
  <c r="C50" i="1"/>
  <c r="D50" i="1"/>
  <c r="E50" i="1"/>
  <c r="F50" i="1"/>
  <c r="B51" i="1"/>
  <c r="C51" i="1"/>
  <c r="D51" i="1"/>
  <c r="E51" i="1"/>
  <c r="F51" i="1"/>
  <c r="B53" i="1"/>
  <c r="C53" i="1"/>
  <c r="C56" i="1"/>
  <c r="D53" i="1"/>
  <c r="E53" i="1"/>
  <c r="E56" i="1"/>
  <c r="F53" i="1"/>
  <c r="B54" i="1"/>
  <c r="B55" i="1"/>
  <c r="C54" i="1"/>
  <c r="D54" i="1"/>
  <c r="D55" i="1"/>
  <c r="E54" i="1"/>
  <c r="F54" i="1"/>
  <c r="F55" i="1"/>
  <c r="B61" i="1"/>
  <c r="C61" i="1"/>
  <c r="C66" i="1"/>
  <c r="E61" i="1"/>
  <c r="F61" i="1"/>
  <c r="B66" i="1"/>
  <c r="F66" i="1"/>
  <c r="A1" i="2"/>
  <c r="I5" i="2"/>
  <c r="H22" i="2"/>
  <c r="I6" i="2"/>
  <c r="H23" i="2"/>
  <c r="I7" i="2"/>
  <c r="H24" i="2"/>
  <c r="I8" i="2"/>
  <c r="H25" i="2"/>
  <c r="I9" i="2"/>
  <c r="H26" i="2"/>
  <c r="I10" i="2"/>
  <c r="H27" i="2"/>
  <c r="I11" i="2"/>
  <c r="H28" i="2"/>
  <c r="I12" i="2"/>
  <c r="H29" i="2"/>
  <c r="I15" i="2"/>
  <c r="H31" i="2"/>
  <c r="I16" i="2"/>
  <c r="J21" i="2"/>
  <c r="L21" i="2"/>
  <c r="J22" i="2"/>
  <c r="L22" i="2"/>
  <c r="I23" i="2"/>
  <c r="K23" i="2"/>
  <c r="M23" i="2"/>
  <c r="J24" i="2"/>
  <c r="L24" i="2"/>
  <c r="I25" i="2"/>
  <c r="K25" i="2"/>
  <c r="M25" i="2"/>
  <c r="J26" i="2"/>
  <c r="L26" i="2"/>
  <c r="I27" i="2"/>
  <c r="M27" i="2"/>
  <c r="J28" i="2"/>
  <c r="L28" i="2"/>
  <c r="I29" i="2"/>
  <c r="M29" i="2"/>
  <c r="A38" i="2"/>
  <c r="A1" i="3"/>
  <c r="C4" i="3"/>
  <c r="I5" i="3"/>
  <c r="I6" i="3"/>
  <c r="I7" i="3"/>
  <c r="I8" i="3"/>
  <c r="I9" i="3"/>
  <c r="I10" i="3"/>
  <c r="I11" i="3"/>
  <c r="I12" i="3"/>
  <c r="I13" i="3"/>
  <c r="I14" i="3"/>
  <c r="I15" i="3"/>
  <c r="J24" i="3"/>
  <c r="L24" i="3"/>
  <c r="H25" i="3"/>
  <c r="I25" i="3"/>
  <c r="K25" i="3"/>
  <c r="K36" i="3"/>
  <c r="M25" i="3"/>
  <c r="H26" i="3"/>
  <c r="I26" i="3"/>
  <c r="K26" i="3"/>
  <c r="M26" i="3"/>
  <c r="H27" i="3"/>
  <c r="J27" i="3"/>
  <c r="L27" i="3"/>
  <c r="H28" i="3"/>
  <c r="I28" i="3"/>
  <c r="K28" i="3"/>
  <c r="M28" i="3"/>
  <c r="H29" i="3"/>
  <c r="J29" i="3"/>
  <c r="L29" i="3"/>
  <c r="H30" i="3"/>
  <c r="I30" i="3"/>
  <c r="J30" i="3"/>
  <c r="K30" i="3"/>
  <c r="L30" i="3"/>
  <c r="M30" i="3"/>
  <c r="H31" i="3"/>
  <c r="I31" i="3"/>
  <c r="K31" i="3"/>
  <c r="M31" i="3"/>
  <c r="H32" i="3"/>
  <c r="I32" i="3"/>
  <c r="K32" i="3"/>
  <c r="M32" i="3"/>
  <c r="H33" i="3"/>
  <c r="I33" i="3"/>
  <c r="J33" i="3"/>
  <c r="K33" i="3"/>
  <c r="L33" i="3"/>
  <c r="M33" i="3"/>
  <c r="H34" i="3"/>
  <c r="J34" i="3"/>
  <c r="L34" i="3"/>
  <c r="H35" i="3"/>
  <c r="I35" i="3"/>
  <c r="K35" i="3"/>
  <c r="M35" i="3"/>
  <c r="H36" i="3"/>
  <c r="I36" i="3"/>
  <c r="M36" i="3"/>
  <c r="A42" i="3"/>
  <c r="A1" i="4"/>
  <c r="C4" i="4"/>
  <c r="E4" i="4"/>
  <c r="A5" i="4"/>
  <c r="J5" i="4"/>
  <c r="A6" i="4"/>
  <c r="J6" i="4"/>
  <c r="A7" i="4"/>
  <c r="J7" i="4"/>
  <c r="J10" i="4"/>
  <c r="J11" i="4"/>
  <c r="J12" i="4"/>
  <c r="J13" i="4"/>
  <c r="J14" i="4"/>
  <c r="J15" i="4"/>
  <c r="K19" i="4"/>
  <c r="M19" i="4"/>
  <c r="I20" i="4"/>
  <c r="J20" i="4"/>
  <c r="L20" i="4"/>
  <c r="N20" i="4"/>
  <c r="I21" i="4"/>
  <c r="J21" i="4"/>
  <c r="K21" i="4"/>
  <c r="L21" i="4"/>
  <c r="M21" i="4"/>
  <c r="N21" i="4"/>
  <c r="I22" i="4"/>
  <c r="K22" i="4"/>
  <c r="M22" i="4"/>
  <c r="I23" i="4"/>
  <c r="J23" i="4"/>
  <c r="L23" i="4"/>
  <c r="N23" i="4"/>
  <c r="I24" i="4"/>
  <c r="J24" i="4"/>
  <c r="L24" i="4"/>
  <c r="N24" i="4"/>
  <c r="A38" i="4"/>
  <c r="A1" i="5"/>
  <c r="D4" i="5"/>
  <c r="F4" i="5"/>
  <c r="L4" i="5"/>
  <c r="M4" i="5"/>
  <c r="N4" i="5"/>
  <c r="O4" i="5"/>
  <c r="P4" i="5"/>
  <c r="U4" i="5"/>
  <c r="U5" i="5"/>
  <c r="V4" i="5"/>
  <c r="B5" i="5"/>
  <c r="C5" i="5"/>
  <c r="D5" i="5"/>
  <c r="E5" i="5"/>
  <c r="F5" i="5"/>
  <c r="G5" i="5"/>
  <c r="K5" i="5"/>
  <c r="L5" i="5"/>
  <c r="M5" i="5"/>
  <c r="N5" i="5"/>
  <c r="O5" i="5"/>
  <c r="P5" i="5"/>
  <c r="T5" i="5"/>
  <c r="V5" i="5"/>
  <c r="B6" i="5"/>
  <c r="C6" i="5"/>
  <c r="D6" i="5"/>
  <c r="E6" i="5"/>
  <c r="F6" i="5"/>
  <c r="G6" i="5"/>
  <c r="K6" i="5"/>
  <c r="L6" i="5"/>
  <c r="M6" i="5"/>
  <c r="N6" i="5"/>
  <c r="O6" i="5"/>
  <c r="P6" i="5"/>
  <c r="T6" i="5"/>
  <c r="V6" i="5"/>
  <c r="T7" i="5"/>
  <c r="C20" i="5"/>
  <c r="D20" i="5"/>
  <c r="E20" i="5"/>
  <c r="F20" i="5"/>
  <c r="G20" i="5"/>
  <c r="C25" i="5"/>
  <c r="Q25" i="5"/>
  <c r="A38" i="5"/>
  <c r="E17" i="1"/>
  <c r="E5" i="4"/>
  <c r="M30" i="2"/>
  <c r="L32" i="2"/>
  <c r="M32" i="2"/>
  <c r="J32" i="2"/>
  <c r="J5" i="3"/>
  <c r="K14" i="3"/>
  <c r="K9" i="3"/>
  <c r="K7" i="3"/>
  <c r="J11" i="3"/>
  <c r="J15" i="3"/>
  <c r="H32" i="2"/>
  <c r="B38" i="1"/>
  <c r="B7" i="4"/>
  <c r="F140" i="6"/>
  <c r="G149" i="6"/>
  <c r="H149" i="6"/>
  <c r="D149" i="6"/>
  <c r="F38" i="1"/>
  <c r="F7" i="4"/>
  <c r="L28" i="3"/>
  <c r="L26" i="3"/>
  <c r="C30" i="1"/>
  <c r="J25" i="3"/>
  <c r="J36" i="3"/>
  <c r="H3" i="1"/>
  <c r="F4" i="4"/>
  <c r="G4" i="5"/>
  <c r="E4" i="5"/>
  <c r="C4" i="5"/>
  <c r="M24" i="4"/>
  <c r="N22" i="4"/>
  <c r="N19" i="4"/>
  <c r="L19" i="4"/>
  <c r="J19" i="4"/>
  <c r="M24" i="3"/>
  <c r="K24" i="3"/>
  <c r="I24" i="3"/>
  <c r="M21" i="2"/>
  <c r="K21" i="2"/>
  <c r="I21" i="2"/>
  <c r="D38" i="1"/>
  <c r="D7" i="4"/>
  <c r="M20" i="4"/>
  <c r="E30" i="1"/>
  <c r="J16" i="3"/>
  <c r="L32" i="3"/>
  <c r="B17" i="1"/>
  <c r="B5" i="4"/>
  <c r="M26" i="2"/>
  <c r="C17" i="1"/>
  <c r="C5" i="4"/>
  <c r="J23" i="2"/>
  <c r="M22" i="2"/>
  <c r="C38" i="1"/>
  <c r="C7" i="4"/>
  <c r="F30" i="1"/>
  <c r="K16" i="3"/>
  <c r="D30" i="1"/>
  <c r="D6" i="4"/>
  <c r="B30" i="1"/>
  <c r="B6" i="4"/>
  <c r="F17" i="1"/>
  <c r="F5" i="4"/>
  <c r="U7" i="5"/>
  <c r="U6" i="5"/>
  <c r="D56" i="1"/>
  <c r="E55" i="1"/>
  <c r="F56" i="1"/>
  <c r="V7" i="5"/>
  <c r="B56" i="1"/>
  <c r="C55" i="1"/>
  <c r="E66" i="1"/>
  <c r="H66" i="1"/>
  <c r="E38" i="1"/>
  <c r="E31" i="1"/>
  <c r="B31" i="1"/>
  <c r="K4" i="2"/>
  <c r="K5" i="2"/>
  <c r="L9" i="4"/>
  <c r="K9" i="4"/>
  <c r="E6" i="4"/>
  <c r="F31" i="1"/>
  <c r="L4" i="4"/>
  <c r="K4" i="3"/>
  <c r="F6" i="4"/>
  <c r="G3" i="1"/>
  <c r="S20" i="5"/>
  <c r="C31" i="1"/>
  <c r="C6" i="4"/>
  <c r="J4" i="2"/>
  <c r="J5" i="2"/>
  <c r="E7" i="4"/>
  <c r="K4" i="4"/>
  <c r="M15" i="4"/>
  <c r="G66" i="1"/>
  <c r="M12" i="4"/>
  <c r="M14" i="4"/>
  <c r="M13" i="4"/>
  <c r="R20" i="5"/>
  <c r="J4" i="3"/>
  <c r="M6" i="4"/>
  <c r="J14" i="2"/>
  <c r="M10" i="4"/>
  <c r="M11" i="4"/>
  <c r="L5" i="3"/>
  <c r="L6" i="3"/>
  <c r="L8" i="3"/>
  <c r="L10" i="3"/>
  <c r="L12" i="3"/>
  <c r="L14" i="3"/>
  <c r="L7" i="3"/>
  <c r="L9" i="3"/>
  <c r="L11" i="3"/>
  <c r="L13" i="3"/>
  <c r="L15" i="3"/>
  <c r="L16" i="3"/>
  <c r="J8" i="2"/>
  <c r="J12" i="2"/>
  <c r="L12" i="2"/>
  <c r="K12" i="2"/>
  <c r="D17" i="1"/>
  <c r="D5" i="4"/>
  <c r="J13" i="2"/>
  <c r="L13" i="2"/>
  <c r="J10" i="2"/>
  <c r="J6" i="2"/>
  <c r="K8" i="2"/>
  <c r="L8" i="2"/>
  <c r="J11" i="2"/>
  <c r="J9" i="2"/>
  <c r="J7" i="2"/>
  <c r="K14" i="2"/>
  <c r="L14" i="2"/>
  <c r="K10" i="2"/>
  <c r="K6" i="2"/>
  <c r="L5" i="2"/>
  <c r="K13" i="2"/>
  <c r="K11" i="2"/>
  <c r="L11" i="2"/>
  <c r="K9" i="2"/>
  <c r="K7" i="2"/>
  <c r="L7" i="2"/>
  <c r="L6" i="2"/>
  <c r="J16" i="2"/>
  <c r="D31" i="1"/>
  <c r="L9" i="2"/>
  <c r="L10" i="2"/>
  <c r="K16" i="2"/>
  <c r="L5" i="4"/>
  <c r="L7" i="4"/>
  <c r="K5" i="4"/>
  <c r="L16" i="2"/>
  <c r="K7" i="4"/>
  <c r="M7" i="4"/>
  <c r="M5" i="4"/>
</calcChain>
</file>

<file path=xl/sharedStrings.xml><?xml version="1.0" encoding="utf-8"?>
<sst xmlns="http://schemas.openxmlformats.org/spreadsheetml/2006/main" count="373" uniqueCount="218">
  <si>
    <t>Fines &amp; Forfeitures</t>
  </si>
  <si>
    <t>Other Revenues</t>
  </si>
  <si>
    <t>3. Revenue sources - compared to the prior year</t>
  </si>
  <si>
    <t>State aid - health and/or hospitals</t>
  </si>
  <si>
    <t>Federal govt. grants - health and/or hospitals</t>
  </si>
  <si>
    <t>Federal govt. grants - sanitation</t>
  </si>
  <si>
    <t>State Government</t>
  </si>
  <si>
    <t>Commentary:</t>
  </si>
  <si>
    <t>Other public works</t>
  </si>
  <si>
    <t>Health &amp; Welfare</t>
  </si>
  <si>
    <t>Judicial</t>
  </si>
  <si>
    <t>Federal govt. grants - other</t>
  </si>
  <si>
    <t>Change</t>
  </si>
  <si>
    <t>Landfill Closure &amp; Postclosure Care</t>
  </si>
  <si>
    <t>Health dept.</t>
  </si>
  <si>
    <t>Other cultural activities</t>
  </si>
  <si>
    <t>Clerk</t>
  </si>
  <si>
    <t>Federal govt. grants - public safety</t>
  </si>
  <si>
    <t>Local donations - health and/or hospitals</t>
  </si>
  <si>
    <t>Property taxes</t>
  </si>
  <si>
    <t>Ambulance</t>
  </si>
  <si>
    <t>Elections</t>
  </si>
  <si>
    <t>Revenues</t>
  </si>
  <si>
    <t>Committed</t>
  </si>
  <si>
    <t>Jail</t>
  </si>
  <si>
    <t xml:space="preserve"> </t>
  </si>
  <si>
    <t>Local donations - housing &amp; community development</t>
  </si>
  <si>
    <t>All other gen gov.</t>
  </si>
  <si>
    <t>State aid - general government</t>
  </si>
  <si>
    <t xml:space="preserve">4. Historical trends of individual components </t>
  </si>
  <si>
    <t>Other charges for services</t>
  </si>
  <si>
    <t>Unfunded (Overfunded)</t>
  </si>
  <si>
    <t>FUND BALANCE</t>
  </si>
  <si>
    <t>State aid - culture &amp; recreation</t>
  </si>
  <si>
    <t>Industrial facilities tax</t>
  </si>
  <si>
    <t>Public housing</t>
  </si>
  <si>
    <t>Date of actuarial valuation:</t>
  </si>
  <si>
    <t>General government</t>
  </si>
  <si>
    <t>Court-ordered fees and charges</t>
  </si>
  <si>
    <t>Statutory court fees &amp; charges</t>
  </si>
  <si>
    <t>Licenses &amp; Permits</t>
  </si>
  <si>
    <t>Financial Position
All governmental funds</t>
  </si>
  <si>
    <t>Fines, penalties &amp; forfeits</t>
  </si>
  <si>
    <t>EXPENDITURES</t>
  </si>
  <si>
    <t>Other public safety</t>
  </si>
  <si>
    <t>Other Public Works</t>
  </si>
  <si>
    <t>Liabilities not counted on a 
modified-accrual basis</t>
  </si>
  <si>
    <t>CITIZENS' GUIDE TO LOCAL UNIT FINANCES - Grand Haven - Ottawa</t>
  </si>
  <si>
    <t>Library</t>
  </si>
  <si>
    <t>Income tax</t>
  </si>
  <si>
    <t>Interfund transfers In</t>
  </si>
  <si>
    <t>Nonspendable</t>
  </si>
  <si>
    <t>Contact Name:</t>
  </si>
  <si>
    <t>Other Contractual Debt</t>
  </si>
  <si>
    <t>Other health &amp; welfare</t>
  </si>
  <si>
    <t>State aid - electric</t>
  </si>
  <si>
    <t>Federal govt. grants - streets &amp; highways</t>
  </si>
  <si>
    <t>Misc. other revenue</t>
  </si>
  <si>
    <t>Local donations - streets &amp; highways</t>
  </si>
  <si>
    <t>General Government</t>
  </si>
  <si>
    <t>3. Spending - compared to the prior year</t>
  </si>
  <si>
    <t>Election charges</t>
  </si>
  <si>
    <t>Police &amp; Fire</t>
  </si>
  <si>
    <t>Trash disposal &amp; landfilling</t>
  </si>
  <si>
    <t>Child care</t>
  </si>
  <si>
    <t>Police</t>
  </si>
  <si>
    <t>REVENUES</t>
  </si>
  <si>
    <t>Federal govt. grants - transit</t>
  </si>
  <si>
    <t>Local donations - other</t>
  </si>
  <si>
    <t>Medical examiner</t>
  </si>
  <si>
    <t>Unfunded</t>
  </si>
  <si>
    <t>Aggregation</t>
  </si>
  <si>
    <t>Finance</t>
  </si>
  <si>
    <t>Local Contributions</t>
  </si>
  <si>
    <t>Parking fees</t>
  </si>
  <si>
    <t>All other fees</t>
  </si>
  <si>
    <t xml:space="preserve">Local donations - Gas, water, electric </t>
  </si>
  <si>
    <t>Uninsured Losses</t>
  </si>
  <si>
    <t>State revenue sharing</t>
  </si>
  <si>
    <t>Commercial facilities tax</t>
  </si>
  <si>
    <t>Water &amp; sewer</t>
  </si>
  <si>
    <t>Local donations - transit</t>
  </si>
  <si>
    <t>Interfund transfers out</t>
  </si>
  <si>
    <t>Per capita information</t>
  </si>
  <si>
    <t>Business licenses &amp; permits</t>
  </si>
  <si>
    <t>Fund balance, by component:</t>
  </si>
  <si>
    <t>Local donations - public safety</t>
  </si>
  <si>
    <t>State aid - public safety</t>
  </si>
  <si>
    <t xml:space="preserve">4. Historical trends of individual sources </t>
  </si>
  <si>
    <t>3. Percent funded - compared to the prior year</t>
  </si>
  <si>
    <t>Federal govt. grants - culture &amp; recreation</t>
  </si>
  <si>
    <t>Federal Government</t>
  </si>
  <si>
    <t>State payment in lieu of taxes</t>
  </si>
  <si>
    <t>Oher community development</t>
  </si>
  <si>
    <t>Employee Compensated Absences</t>
  </si>
  <si>
    <t>Bonds &amp; Contracts Payable</t>
  </si>
  <si>
    <t>Combined public safety</t>
  </si>
  <si>
    <t>Alcoholism &amp; substance abuse</t>
  </si>
  <si>
    <t>Register of Deeds fees</t>
  </si>
  <si>
    <t>Pensions</t>
  </si>
  <si>
    <t>Other  refunds &amp; rebates</t>
  </si>
  <si>
    <t>Assets</t>
  </si>
  <si>
    <t>Federal govt. grants - water</t>
  </si>
  <si>
    <t>Hospital</t>
  </si>
  <si>
    <t>Debt issuance</t>
  </si>
  <si>
    <t>4. Historical trends of individual departments:</t>
  </si>
  <si>
    <t>All Governmental Funds (col. A &amp; b)</t>
  </si>
  <si>
    <t>F-65 line</t>
  </si>
  <si>
    <t>State aid - sanitation</t>
  </si>
  <si>
    <t>Statement Of Revenue &amp; Expense
All governmental funds</t>
  </si>
  <si>
    <t>Capital Outlay</t>
  </si>
  <si>
    <t>Debt service</t>
  </si>
  <si>
    <t>Total Revenues</t>
  </si>
  <si>
    <t>State swamp and land taxes</t>
  </si>
  <si>
    <t>Parks and recreation fees</t>
  </si>
  <si>
    <t>Population information</t>
  </si>
  <si>
    <t>State aid - housing &amp; community development</t>
  </si>
  <si>
    <t>Assessing</t>
  </si>
  <si>
    <t>Interest &amp; Rents</t>
  </si>
  <si>
    <t>State aid - streets &amp; bridges</t>
  </si>
  <si>
    <t>Local donations - culture &amp; recreation</t>
  </si>
  <si>
    <t>Sum of All Pension &amp; OPEB Plans</t>
  </si>
  <si>
    <t>Debt:</t>
  </si>
  <si>
    <t>Police fees</t>
  </si>
  <si>
    <t>Other Public Safety</t>
  </si>
  <si>
    <t>Structured Debt</t>
  </si>
  <si>
    <t>Restricted</t>
  </si>
  <si>
    <t>Other Expenditures</t>
  </si>
  <si>
    <t>5. Debt &amp; other long term obligations per capita - compared to the prior year</t>
  </si>
  <si>
    <t>1. Pension funding status</t>
  </si>
  <si>
    <t>All other statutory fees</t>
  </si>
  <si>
    <t>Federal govt. grants - general government</t>
  </si>
  <si>
    <t>State aid - other</t>
  </si>
  <si>
    <t>Economic development</t>
  </si>
  <si>
    <t>Contact information</t>
  </si>
  <si>
    <t>Assigned</t>
  </si>
  <si>
    <t>Contact Phone Number:</t>
  </si>
  <si>
    <t>Mental health</t>
  </si>
  <si>
    <t>Taxes</t>
  </si>
  <si>
    <t>Treasurer</t>
  </si>
  <si>
    <t>Special assessments</t>
  </si>
  <si>
    <t>Federal govt. grants - electric</t>
  </si>
  <si>
    <t>Fringe benefits not directly allocated to departments</t>
  </si>
  <si>
    <t>Building &amp; grounds</t>
  </si>
  <si>
    <t>2. Retiree Health care funding status</t>
  </si>
  <si>
    <t>Legislative</t>
  </si>
  <si>
    <t>Veterans' programs</t>
  </si>
  <si>
    <t>Parks &amp; recreation</t>
  </si>
  <si>
    <t>State pass-thru of act 51(Streets)</t>
  </si>
  <si>
    <t>Trailer taxes</t>
  </si>
  <si>
    <t>Clerk's office charges</t>
  </si>
  <si>
    <t>Unlocked cells have conditional formatting set so that when they are blank, they are colored yellow.</t>
  </si>
  <si>
    <t>Interest &amp; dividends</t>
  </si>
  <si>
    <t>Use the picklist on chart 4 to see other data</t>
  </si>
  <si>
    <t>Airports</t>
  </si>
  <si>
    <t xml:space="preserve">DPW </t>
  </si>
  <si>
    <t>Public transportation</t>
  </si>
  <si>
    <t>Extraordinary/ Special items</t>
  </si>
  <si>
    <t>Human services</t>
  </si>
  <si>
    <t>Actuarial Liability</t>
  </si>
  <si>
    <t>Charges for Services</t>
  </si>
  <si>
    <t>Local donations - general government</t>
  </si>
  <si>
    <t>State aid - water</t>
  </si>
  <si>
    <t>Non-business licenses &amp; permits</t>
  </si>
  <si>
    <t>Recreation &amp; Culture</t>
  </si>
  <si>
    <t>Roads &amp; bridges</t>
  </si>
  <si>
    <t>Debt Service</t>
  </si>
  <si>
    <t xml:space="preserve">2. Compared to the prior year </t>
  </si>
  <si>
    <t>Total Expenditures</t>
  </si>
  <si>
    <t>Dispatch (if separate)</t>
  </si>
  <si>
    <t>Local donations - welfare</t>
  </si>
  <si>
    <t>Description</t>
  </si>
  <si>
    <t>Chief executive</t>
  </si>
  <si>
    <t>State aid - welfare</t>
  </si>
  <si>
    <t xml:space="preserve">Roads </t>
  </si>
  <si>
    <t>Total Fund Balance</t>
  </si>
  <si>
    <t>Capital outlay</t>
  </si>
  <si>
    <t>Building regulations</t>
  </si>
  <si>
    <t>Planning &amp; zoning</t>
  </si>
  <si>
    <t>Hotel/ motel tax</t>
  </si>
  <si>
    <t>Sale of fixed assets</t>
  </si>
  <si>
    <t>Federal govt. grants - welfare</t>
  </si>
  <si>
    <t>State aid - transit</t>
  </si>
  <si>
    <t>Electricity</t>
  </si>
  <si>
    <t>Fire</t>
  </si>
  <si>
    <t>OPEB</t>
  </si>
  <si>
    <t>Rents &amp; royalties</t>
  </si>
  <si>
    <t>4. Long Term Debt obligations:</t>
  </si>
  <si>
    <t>Water (separate fund)</t>
  </si>
  <si>
    <t>Chart data for charts 1, 2, 3, 4 &amp; 5 are located underneath the charts.</t>
  </si>
  <si>
    <t>Other Claims &amp; Contingencies</t>
  </si>
  <si>
    <t>Total Long Term Debt (Excl. Pension &amp; RHC)</t>
  </si>
  <si>
    <t>Local donations - sanitation</t>
  </si>
  <si>
    <t>Contributions</t>
  </si>
  <si>
    <t>Capital Leases</t>
  </si>
  <si>
    <t>Tax reverted property</t>
  </si>
  <si>
    <t>Federal govt. grants - housing &amp; community development</t>
  </si>
  <si>
    <t>Unassigned</t>
  </si>
  <si>
    <t>Percent funded</t>
  </si>
  <si>
    <t>Expenditures</t>
  </si>
  <si>
    <t>Chart data for charts 1, 3 &amp; 4 are located underneath the charts.</t>
  </si>
  <si>
    <t>Ambulance services</t>
  </si>
  <si>
    <t>3. Fund balance - compared to the prior year</t>
  </si>
  <si>
    <t>Surplus (Shortfall)</t>
  </si>
  <si>
    <t>Fire run charges</t>
  </si>
  <si>
    <t>Community/Econ. Development</t>
  </si>
  <si>
    <t>Area agency on aging</t>
  </si>
  <si>
    <t>James P. Bonamy, Finance Director</t>
  </si>
  <si>
    <t>616 847-4893</t>
  </si>
  <si>
    <t>match to audit</t>
  </si>
  <si>
    <t>From F-65 report</t>
  </si>
  <si>
    <t>Bond Proceeds</t>
  </si>
  <si>
    <t>1. Where City money comes from (all governmental funds)</t>
  </si>
  <si>
    <t>Interfund Transfers Out</t>
  </si>
  <si>
    <t>Interfund Transfers In</t>
  </si>
  <si>
    <t>1. How the City managed governmental fund resources (fund balance)</t>
  </si>
  <si>
    <t>1. Where the City spent money (all governmental funds)</t>
  </si>
  <si>
    <t>This sheet has been protected with a password so it cannot be 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</si>
</sst>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_(&quot;$&quot;* #,##0_);_(&quot;$&quot;* \(#,##0\);_(&quot;$&quot;* &quot;-&quot;??_);_(@_)"/>
    <numFmt numFmtId="184" formatCode="_(* #,##0_);_(* \(#,##0\);_(* &quot;-&quot;??_);_(@_)"/>
  </numFmts>
  <fonts count="33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sz val="11"/>
      <color indexed="12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55"/>
      <name val="Calibri"/>
      <family val="2"/>
    </font>
    <font>
      <u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6">
    <xf numFmtId="41" fontId="0" fillId="0" borderId="0">
      <alignment vertical="center"/>
    </xf>
    <xf numFmtId="0" fontId="5" fillId="2" borderId="0"/>
    <xf numFmtId="0" fontId="5" fillId="2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6" borderId="0"/>
    <xf numFmtId="0" fontId="6" fillId="16" borderId="0"/>
    <xf numFmtId="0" fontId="6" fillId="17" borderId="0"/>
    <xf numFmtId="0" fontId="6" fillId="17" borderId="0"/>
    <xf numFmtId="0" fontId="6" fillId="18" borderId="0"/>
    <xf numFmtId="0" fontId="6" fillId="18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9" borderId="0"/>
    <xf numFmtId="0" fontId="6" fillId="19" borderId="0"/>
    <xf numFmtId="0" fontId="7" fillId="3" borderId="0"/>
    <xf numFmtId="0" fontId="7" fillId="3" borderId="0"/>
    <xf numFmtId="0" fontId="8" fillId="20" borderId="1"/>
    <xf numFmtId="0" fontId="8" fillId="20" borderId="1"/>
    <xf numFmtId="0" fontId="9" fillId="21" borderId="2"/>
    <xf numFmtId="0" fontId="9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5" fillId="0" borderId="0">
      <alignment vertical="center"/>
    </xf>
    <xf numFmtId="42" fontId="1" fillId="0" borderId="0">
      <alignment vertical="center"/>
    </xf>
    <xf numFmtId="42" fontId="1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31" fillId="0" borderId="0">
      <alignment vertical="center"/>
    </xf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44" fontId="5" fillId="0" borderId="0">
      <alignment vertical="center"/>
    </xf>
    <xf numFmtId="0" fontId="10" fillId="0" borderId="0"/>
    <xf numFmtId="0" fontId="10" fillId="0" borderId="0"/>
    <xf numFmtId="0" fontId="11" fillId="4" borderId="0"/>
    <xf numFmtId="0" fontId="11" fillId="4" borderId="0"/>
    <xf numFmtId="0" fontId="12" fillId="0" borderId="3"/>
    <xf numFmtId="0" fontId="12" fillId="0" borderId="3"/>
    <xf numFmtId="0" fontId="13" fillId="0" borderId="4"/>
    <xf numFmtId="0" fontId="13" fillId="0" borderId="4"/>
    <xf numFmtId="0" fontId="14" fillId="0" borderId="5"/>
    <xf numFmtId="0" fontId="14" fillId="0" borderId="5"/>
    <xf numFmtId="0" fontId="14" fillId="0" borderId="0"/>
    <xf numFmtId="0" fontId="14" fillId="0" borderId="0"/>
    <xf numFmtId="0" fontId="15" fillId="7" borderId="1"/>
    <xf numFmtId="0" fontId="15" fillId="7" borderId="1"/>
    <xf numFmtId="0" fontId="16" fillId="0" borderId="6"/>
    <xf numFmtId="0" fontId="16" fillId="0" borderId="6"/>
    <xf numFmtId="0" fontId="17" fillId="22" borderId="0"/>
    <xf numFmtId="0" fontId="17" fillId="22" borderId="0"/>
    <xf numFmtId="41" fontId="5" fillId="0" borderId="0">
      <alignment vertical="center"/>
    </xf>
    <xf numFmtId="41" fontId="5" fillId="0" borderId="0">
      <alignment vertical="center"/>
    </xf>
    <xf numFmtId="41" fontId="31" fillId="0" borderId="0">
      <alignment vertical="center"/>
    </xf>
    <xf numFmtId="41" fontId="5" fillId="0" borderId="0">
      <alignment vertical="center"/>
    </xf>
    <xf numFmtId="41" fontId="32" fillId="0" borderId="0"/>
    <xf numFmtId="0" fontId="5" fillId="23" borderId="7"/>
    <xf numFmtId="0" fontId="5" fillId="23" borderId="7"/>
    <xf numFmtId="0" fontId="18" fillId="20" borderId="8"/>
    <xf numFmtId="0" fontId="18" fillId="20" borderId="8"/>
    <xf numFmtId="9" fontId="5" fillId="0" borderId="0">
      <alignment vertical="center"/>
    </xf>
    <xf numFmtId="9" fontId="5" fillId="0" borderId="0">
      <alignment vertical="center"/>
    </xf>
    <xf numFmtId="9" fontId="5" fillId="0" borderId="0">
      <alignment vertical="center"/>
    </xf>
    <xf numFmtId="9" fontId="31" fillId="0" borderId="0">
      <alignment vertical="center"/>
    </xf>
    <xf numFmtId="9" fontId="5" fillId="0" borderId="0">
      <alignment vertical="center"/>
    </xf>
    <xf numFmtId="9" fontId="32" fillId="0" borderId="0" applyFont="0" applyFill="0" applyBorder="0" applyAlignment="0" applyProtection="0"/>
    <xf numFmtId="49" fontId="3" fillId="0" borderId="0">
      <alignment horizontal="left" vertical="center"/>
    </xf>
    <xf numFmtId="0" fontId="19" fillId="0" borderId="0"/>
    <xf numFmtId="0" fontId="19" fillId="0" borderId="0"/>
    <xf numFmtId="0" fontId="20" fillId="0" borderId="9"/>
    <xf numFmtId="0" fontId="20" fillId="0" borderId="9"/>
    <xf numFmtId="0" fontId="21" fillId="0" borderId="0"/>
    <xf numFmtId="0" fontId="21" fillId="0" borderId="0"/>
  </cellStyleXfs>
  <cellXfs count="164"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1"/>
    </xf>
    <xf numFmtId="41" fontId="0" fillId="0" borderId="0" xfId="0" applyNumberFormat="1" applyFont="1" applyBorder="1" applyAlignment="1">
      <alignment horizontal="left" vertical="center" indent="2"/>
    </xf>
    <xf numFmtId="41" fontId="0" fillId="0" borderId="0" xfId="0" applyNumberFormat="1" applyFont="1" applyBorder="1" applyAlignment="1">
      <alignment horizontal="left" vertical="center" indent="4"/>
    </xf>
    <xf numFmtId="41" fontId="0" fillId="0" borderId="0" xfId="0" applyNumberFormat="1" applyFont="1" applyBorder="1" applyAlignment="1">
      <alignment horizontal="left" vertical="center" indent="6"/>
    </xf>
    <xf numFmtId="41" fontId="0" fillId="0" borderId="10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18" xfId="0" applyNumberFormat="1" applyFont="1" applyFill="1" applyBorder="1" applyAlignment="1" applyProtection="1">
      <alignment horizontal="left" vertical="center"/>
    </xf>
    <xf numFmtId="41" fontId="0" fillId="0" borderId="18" xfId="0" applyNumberFormat="1" applyFont="1" applyFill="1" applyBorder="1" applyAlignment="1" applyProtection="1">
      <alignment horizontal="centerContinuous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5" fontId="27" fillId="0" borderId="0" xfId="0" applyNumberFormat="1" applyFont="1" applyFill="1" applyBorder="1" applyAlignment="1" applyProtection="1">
      <alignment horizontal="center" vertical="center"/>
    </xf>
    <xf numFmtId="5" fontId="4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41" fontId="0" fillId="0" borderId="19" xfId="0" applyNumberFormat="1" applyFont="1" applyFill="1" applyBorder="1" applyAlignment="1" applyProtection="1">
      <alignment vertical="center"/>
    </xf>
    <xf numFmtId="41" fontId="0" fillId="0" borderId="10" xfId="0" applyNumberFormat="1" applyFont="1" applyBorder="1" applyAlignment="1" applyProtection="1">
      <alignment vertical="center"/>
    </xf>
    <xf numFmtId="0" fontId="22" fillId="0" borderId="11" xfId="0" applyNumberFormat="1" applyFont="1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 wrapText="1"/>
    </xf>
    <xf numFmtId="41" fontId="0" fillId="0" borderId="15" xfId="0" applyNumberFormat="1" applyFont="1" applyBorder="1" applyAlignment="1" applyProtection="1">
      <alignment vertical="center"/>
    </xf>
    <xf numFmtId="41" fontId="0" fillId="0" borderId="14" xfId="0" applyNumberFormat="1" applyFont="1" applyBorder="1" applyAlignment="1" applyProtection="1">
      <alignment vertical="center"/>
    </xf>
    <xf numFmtId="41" fontId="0" fillId="0" borderId="13" xfId="0" applyNumberFormat="1" applyFont="1" applyBorder="1" applyAlignment="1" applyProtection="1">
      <alignment vertical="center"/>
    </xf>
    <xf numFmtId="41" fontId="0" fillId="0" borderId="16" xfId="0" applyNumberFormat="1" applyFont="1" applyBorder="1" applyAlignment="1" applyProtection="1">
      <alignment vertical="center"/>
    </xf>
    <xf numFmtId="41" fontId="0" fillId="0" borderId="17" xfId="0" applyNumberFormat="1" applyFont="1" applyBorder="1" applyAlignment="1" applyProtection="1">
      <alignment vertical="center"/>
    </xf>
    <xf numFmtId="41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 indent="1"/>
    </xf>
    <xf numFmtId="0" fontId="0" fillId="0" borderId="20" xfId="0" applyNumberFormat="1" applyFont="1" applyFill="1" applyBorder="1" applyAlignment="1" applyProtection="1">
      <alignment horizontal="left" vertical="center" indent="2"/>
    </xf>
    <xf numFmtId="0" fontId="0" fillId="0" borderId="21" xfId="0" applyNumberFormat="1" applyFont="1" applyFill="1" applyBorder="1" applyAlignment="1" applyProtection="1">
      <alignment horizontal="left" vertical="center" indent="1"/>
    </xf>
    <xf numFmtId="41" fontId="0" fillId="0" borderId="22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left" vertical="center" indent="2"/>
    </xf>
    <xf numFmtId="41" fontId="0" fillId="0" borderId="22" xfId="0" applyNumberFormat="1" applyFont="1" applyFill="1" applyBorder="1" applyAlignment="1" applyProtection="1">
      <alignment vertical="center"/>
      <protection locked="0"/>
    </xf>
    <xf numFmtId="0" fontId="24" fillId="0" borderId="23" xfId="0" applyNumberFormat="1" applyFont="1" applyFill="1" applyBorder="1" applyAlignment="1" applyProtection="1">
      <alignment vertical="center"/>
    </xf>
    <xf numFmtId="41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 wrapText="1"/>
    </xf>
    <xf numFmtId="0" fontId="29" fillId="0" borderId="18" xfId="0" applyNumberFormat="1" applyFont="1" applyFill="1" applyBorder="1" applyAlignment="1" applyProtection="1">
      <alignment horizontal="left" vertical="center" inden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0" fillId="0" borderId="25" xfId="0" applyNumberFormat="1" applyFont="1" applyFill="1" applyBorder="1" applyAlignment="1" applyProtection="1">
      <alignment horizontal="left" vertical="center" indent="1"/>
    </xf>
    <xf numFmtId="41" fontId="0" fillId="0" borderId="26" xfId="0" applyNumberFormat="1" applyFont="1" applyFill="1" applyBorder="1" applyAlignment="1" applyProtection="1">
      <alignment vertical="center"/>
    </xf>
    <xf numFmtId="0" fontId="0" fillId="0" borderId="27" xfId="0" applyNumberFormat="1" applyFont="1" applyFill="1" applyBorder="1" applyAlignment="1" applyProtection="1">
      <alignment horizontal="left" vertical="center" indent="1"/>
    </xf>
    <xf numFmtId="41" fontId="0" fillId="0" borderId="28" xfId="0" applyNumberFormat="1" applyFont="1" applyFill="1" applyBorder="1" applyAlignment="1" applyProtection="1">
      <alignment vertical="center"/>
    </xf>
    <xf numFmtId="41" fontId="0" fillId="0" borderId="29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left" vertical="center" indent="1"/>
    </xf>
    <xf numFmtId="41" fontId="0" fillId="0" borderId="31" xfId="0" applyNumberFormat="1" applyFont="1" applyFill="1" applyBorder="1" applyAlignment="1" applyProtection="1">
      <alignment vertical="center"/>
    </xf>
    <xf numFmtId="0" fontId="0" fillId="0" borderId="32" xfId="0" applyNumberFormat="1" applyFont="1" applyFill="1" applyBorder="1" applyAlignment="1" applyProtection="1">
      <alignment horizontal="left" vertical="center" indent="1"/>
    </xf>
    <xf numFmtId="0" fontId="0" fillId="0" borderId="27" xfId="0" applyNumberFormat="1" applyFont="1" applyFill="1" applyBorder="1" applyAlignment="1" applyProtection="1">
      <alignment horizontal="left" vertical="center" indent="2"/>
    </xf>
    <xf numFmtId="0" fontId="0" fillId="0" borderId="30" xfId="0" applyNumberFormat="1" applyFont="1" applyFill="1" applyBorder="1" applyAlignment="1" applyProtection="1">
      <alignment horizontal="left" vertical="center" indent="2"/>
    </xf>
    <xf numFmtId="0" fontId="0" fillId="0" borderId="33" xfId="0" applyNumberFormat="1" applyFont="1" applyFill="1" applyBorder="1" applyAlignment="1" applyProtection="1">
      <alignment horizontal="left" vertical="center" indent="2"/>
    </xf>
    <xf numFmtId="0" fontId="0" fillId="0" borderId="34" xfId="0" applyNumberFormat="1" applyFont="1" applyFill="1" applyBorder="1" applyAlignment="1" applyProtection="1">
      <alignment horizontal="left" vertical="center" indent="2"/>
    </xf>
    <xf numFmtId="41" fontId="0" fillId="0" borderId="35" xfId="0" applyNumberFormat="1" applyFont="1" applyFill="1" applyBorder="1" applyAlignment="1" applyProtection="1">
      <alignment vertical="center"/>
    </xf>
    <xf numFmtId="0" fontId="0" fillId="0" borderId="27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/>
    </xf>
    <xf numFmtId="41" fontId="0" fillId="0" borderId="11" xfId="0" applyNumberFormat="1" applyFont="1" applyBorder="1" applyAlignment="1" applyProtection="1">
      <alignment vertical="center"/>
    </xf>
    <xf numFmtId="41" fontId="9" fillId="24" borderId="24" xfId="0" applyNumberFormat="1" applyFont="1" applyFill="1" applyBorder="1" applyAlignment="1" applyProtection="1">
      <alignment vertical="center"/>
    </xf>
    <xf numFmtId="0" fontId="9" fillId="24" borderId="20" xfId="0" applyNumberFormat="1" applyFont="1" applyFill="1" applyBorder="1" applyAlignment="1" applyProtection="1">
      <alignment horizontal="center" vertical="center" wrapText="1"/>
    </xf>
    <xf numFmtId="0" fontId="9" fillId="24" borderId="23" xfId="0" applyNumberFormat="1" applyFont="1" applyFill="1" applyBorder="1" applyAlignment="1" applyProtection="1">
      <alignment horizontal="center" vertical="center" wrapText="1"/>
    </xf>
    <xf numFmtId="41" fontId="0" fillId="0" borderId="36" xfId="0" applyNumberFormat="1" applyFont="1" applyBorder="1" applyAlignment="1" applyProtection="1">
      <alignment vertical="center"/>
    </xf>
    <xf numFmtId="41" fontId="0" fillId="0" borderId="19" xfId="0" applyNumberFormat="1" applyFont="1" applyBorder="1" applyAlignment="1" applyProtection="1">
      <alignment vertical="center"/>
    </xf>
    <xf numFmtId="41" fontId="0" fillId="0" borderId="37" xfId="0" applyNumberFormat="1" applyFont="1" applyBorder="1" applyAlignment="1" applyProtection="1">
      <alignment vertical="center"/>
    </xf>
    <xf numFmtId="41" fontId="0" fillId="0" borderId="38" xfId="0" applyNumberFormat="1" applyFont="1" applyBorder="1" applyAlignment="1" applyProtection="1">
      <alignment vertical="center"/>
    </xf>
    <xf numFmtId="41" fontId="0" fillId="0" borderId="39" xfId="0" applyNumberFormat="1" applyFont="1" applyBorder="1" applyAlignment="1" applyProtection="1">
      <alignment vertical="center"/>
    </xf>
    <xf numFmtId="41" fontId="0" fillId="0" borderId="40" xfId="0" applyNumberFormat="1" applyFont="1" applyBorder="1" applyAlignment="1" applyProtection="1">
      <alignment vertical="center"/>
    </xf>
    <xf numFmtId="41" fontId="0" fillId="0" borderId="18" xfId="0" applyNumberFormat="1" applyFont="1" applyBorder="1" applyAlignment="1" applyProtection="1">
      <alignment vertical="center"/>
    </xf>
    <xf numFmtId="41" fontId="0" fillId="0" borderId="41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38" xfId="0" applyNumberFormat="1" applyFont="1" applyBorder="1" applyAlignment="1">
      <alignment vertical="center"/>
    </xf>
    <xf numFmtId="41" fontId="0" fillId="0" borderId="39" xfId="0" applyNumberFormat="1" applyFont="1" applyBorder="1" applyAlignment="1">
      <alignment vertical="center"/>
    </xf>
    <xf numFmtId="41" fontId="0" fillId="0" borderId="40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42" fontId="0" fillId="0" borderId="0" xfId="0" applyNumberFormat="1" applyFont="1" applyBorder="1" applyAlignment="1">
      <alignment vertical="center"/>
    </xf>
    <xf numFmtId="9" fontId="0" fillId="0" borderId="0" xfId="123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172" fontId="0" fillId="0" borderId="20" xfId="65" applyNumberFormat="1" applyFont="1" applyBorder="1" applyAlignment="1">
      <alignment vertical="center"/>
    </xf>
    <xf numFmtId="10" fontId="0" fillId="0" borderId="23" xfId="123" applyNumberFormat="1" applyFont="1" applyBorder="1" applyAlignment="1">
      <alignment horizontal="right" vertical="center"/>
    </xf>
    <xf numFmtId="41" fontId="9" fillId="24" borderId="0" xfId="0" applyNumberFormat="1" applyFont="1" applyFill="1" applyBorder="1" applyAlignment="1">
      <alignment vertical="center"/>
    </xf>
    <xf numFmtId="0" fontId="9" fillId="24" borderId="0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Border="1" applyAlignment="1">
      <alignment horizontal="left" vertical="center" indent="1"/>
    </xf>
    <xf numFmtId="0" fontId="0" fillId="0" borderId="19" xfId="0" applyNumberFormat="1" applyFont="1" applyBorder="1" applyAlignment="1">
      <alignment vertical="center"/>
    </xf>
    <xf numFmtId="41" fontId="0" fillId="0" borderId="42" xfId="0" applyNumberFormat="1" applyFont="1" applyFill="1" applyBorder="1" applyAlignment="1" applyProtection="1">
      <alignment vertical="center"/>
    </xf>
    <xf numFmtId="42" fontId="0" fillId="0" borderId="34" xfId="0" applyNumberFormat="1" applyFont="1" applyFill="1" applyBorder="1" applyAlignment="1" applyProtection="1">
      <alignment vertical="center"/>
    </xf>
    <xf numFmtId="10" fontId="0" fillId="0" borderId="43" xfId="123" applyNumberFormat="1" applyFont="1" applyFill="1" applyBorder="1" applyAlignment="1" applyProtection="1">
      <alignment horizontal="right" vertical="center"/>
    </xf>
    <xf numFmtId="10" fontId="0" fillId="0" borderId="44" xfId="0" applyNumberFormat="1" applyFont="1" applyFill="1" applyBorder="1" applyAlignment="1" applyProtection="1">
      <alignment horizontal="right" vertical="center"/>
    </xf>
    <xf numFmtId="10" fontId="0" fillId="0" borderId="44" xfId="123" applyNumberFormat="1" applyFont="1" applyFill="1" applyBorder="1" applyAlignment="1" applyProtection="1">
      <alignment horizontal="right" vertical="center"/>
    </xf>
    <xf numFmtId="10" fontId="0" fillId="0" borderId="45" xfId="123" applyNumberFormat="1" applyFont="1" applyFill="1" applyBorder="1" applyAlignment="1" applyProtection="1">
      <alignment horizontal="right" vertical="center"/>
    </xf>
    <xf numFmtId="41" fontId="0" fillId="0" borderId="42" xfId="0" applyNumberFormat="1" applyFont="1" applyBorder="1" applyAlignment="1">
      <alignment vertical="center"/>
    </xf>
    <xf numFmtId="172" fontId="0" fillId="0" borderId="34" xfId="65" applyNumberFormat="1" applyFont="1" applyBorder="1" applyAlignment="1">
      <alignment vertical="center"/>
    </xf>
    <xf numFmtId="10" fontId="0" fillId="0" borderId="43" xfId="123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vertical="center"/>
    </xf>
    <xf numFmtId="10" fontId="0" fillId="0" borderId="44" xfId="123" applyNumberFormat="1" applyFont="1" applyBorder="1" applyAlignment="1">
      <alignment horizontal="right" vertical="center"/>
    </xf>
    <xf numFmtId="41" fontId="0" fillId="0" borderId="46" xfId="0" applyNumberFormat="1" applyFont="1" applyBorder="1" applyAlignment="1">
      <alignment vertical="center"/>
    </xf>
    <xf numFmtId="10" fontId="0" fillId="0" borderId="45" xfId="123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0" fontId="23" fillId="0" borderId="22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22" xfId="0" applyNumberFormat="1" applyFont="1" applyBorder="1" applyAlignment="1" applyProtection="1">
      <alignment vertical="center" wrapText="1"/>
      <protection locked="0"/>
    </xf>
    <xf numFmtId="41" fontId="0" fillId="0" borderId="22" xfId="0" applyNumberFormat="1" applyFont="1" applyBorder="1" applyAlignment="1" applyProtection="1">
      <alignment vertical="center"/>
      <protection locked="0"/>
    </xf>
    <xf numFmtId="41" fontId="0" fillId="0" borderId="22" xfId="114" applyNumberFormat="1" applyFont="1" applyBorder="1" applyAlignment="1" applyProtection="1">
      <alignment vertical="center"/>
      <protection locked="0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39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22" xfId="0" applyNumberFormat="1" applyFont="1" applyBorder="1" applyAlignment="1" applyProtection="1">
      <alignment vertical="center"/>
    </xf>
    <xf numFmtId="9" fontId="0" fillId="0" borderId="22" xfId="123" applyNumberFormat="1" applyFont="1" applyFill="1" applyBorder="1" applyAlignment="1" applyProtection="1">
      <alignment vertical="center"/>
    </xf>
    <xf numFmtId="41" fontId="32" fillId="0" borderId="22" xfId="118" applyFill="1" applyBorder="1" applyProtection="1">
      <protection locked="0"/>
    </xf>
    <xf numFmtId="14" fontId="32" fillId="0" borderId="22" xfId="118" applyNumberFormat="1" applyFont="1" applyFill="1" applyBorder="1" applyAlignment="1">
      <alignment horizontal="center" wrapText="1"/>
    </xf>
    <xf numFmtId="41" fontId="0" fillId="0" borderId="20" xfId="0" applyNumberFormat="1" applyFont="1" applyFill="1" applyBorder="1" applyAlignment="1" applyProtection="1">
      <alignment vertical="center"/>
    </xf>
    <xf numFmtId="41" fontId="0" fillId="0" borderId="24" xfId="0" applyNumberFormat="1" applyFont="1" applyFill="1" applyBorder="1" applyAlignment="1" applyProtection="1">
      <alignment vertical="center"/>
    </xf>
    <xf numFmtId="1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47" xfId="0" applyNumberFormat="1" applyFont="1" applyFill="1" applyBorder="1" applyAlignment="1" applyProtection="1">
      <alignment vertical="center"/>
    </xf>
    <xf numFmtId="14" fontId="32" fillId="0" borderId="22" xfId="118" applyNumberFormat="1" applyFont="1" applyFill="1" applyBorder="1" applyAlignment="1" applyProtection="1">
      <alignment horizontal="center" wrapText="1"/>
      <protection locked="0"/>
    </xf>
    <xf numFmtId="41" fontId="0" fillId="0" borderId="24" xfId="0" applyNumberFormat="1" applyFont="1" applyFill="1" applyBorder="1" applyAlignment="1" applyProtection="1">
      <alignment horizontal="left" vertical="center" indent="1"/>
    </xf>
    <xf numFmtId="10" fontId="0" fillId="0" borderId="23" xfId="123" applyNumberFormat="1" applyFont="1" applyFill="1" applyBorder="1" applyAlignment="1" applyProtection="1">
      <alignment horizontal="right" vertical="center"/>
    </xf>
    <xf numFmtId="41" fontId="0" fillId="0" borderId="46" xfId="0" applyNumberFormat="1" applyFont="1" applyBorder="1" applyAlignment="1" applyProtection="1">
      <alignment vertical="center"/>
    </xf>
    <xf numFmtId="42" fontId="0" fillId="0" borderId="20" xfId="0" applyNumberFormat="1" applyFont="1" applyFill="1" applyBorder="1" applyAlignment="1" applyProtection="1">
      <alignment vertical="center"/>
    </xf>
    <xf numFmtId="42" fontId="5" fillId="0" borderId="20" xfId="65" applyNumberFormat="1" applyBorder="1">
      <alignment vertical="center"/>
    </xf>
    <xf numFmtId="184" fontId="0" fillId="0" borderId="42" xfId="0" applyNumberFormat="1" applyFont="1" applyFill="1" applyBorder="1" applyAlignment="1" applyProtection="1">
      <alignment vertical="center"/>
    </xf>
    <xf numFmtId="184" fontId="0" fillId="0" borderId="20" xfId="0" applyNumberFormat="1" applyFont="1" applyFill="1" applyBorder="1" applyAlignment="1" applyProtection="1">
      <alignment vertical="center"/>
    </xf>
    <xf numFmtId="184" fontId="0" fillId="0" borderId="0" xfId="0" applyNumberFormat="1" applyFont="1" applyFill="1" applyBorder="1" applyAlignment="1" applyProtection="1">
      <alignment vertical="center"/>
    </xf>
    <xf numFmtId="184" fontId="0" fillId="0" borderId="22" xfId="0" applyNumberFormat="1" applyFont="1" applyFill="1" applyBorder="1" applyAlignment="1" applyProtection="1">
      <alignment vertical="center"/>
    </xf>
    <xf numFmtId="41" fontId="0" fillId="0" borderId="24" xfId="0" applyNumberFormat="1" applyFont="1" applyBorder="1" applyAlignment="1">
      <alignment horizontal="left" vertical="center" indent="2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36" xfId="0" applyNumberFormat="1" applyFont="1" applyBorder="1" applyAlignment="1" applyProtection="1">
      <alignment horizontal="left" vertical="top"/>
      <protection locked="0"/>
    </xf>
    <xf numFmtId="41" fontId="0" fillId="0" borderId="19" xfId="0" applyNumberFormat="1" applyFont="1" applyBorder="1" applyAlignment="1" applyProtection="1">
      <alignment horizontal="left" vertical="top"/>
      <protection locked="0"/>
    </xf>
    <xf numFmtId="41" fontId="0" fillId="0" borderId="37" xfId="0" applyNumberFormat="1" applyFont="1" applyBorder="1" applyAlignment="1" applyProtection="1">
      <alignment horizontal="left" vertical="top"/>
      <protection locked="0"/>
    </xf>
    <xf numFmtId="41" fontId="0" fillId="0" borderId="38" xfId="0" applyNumberFormat="1" applyFont="1" applyBorder="1" applyAlignment="1" applyProtection="1">
      <alignment horizontal="left" vertical="top"/>
      <protection locked="0"/>
    </xf>
    <xf numFmtId="41" fontId="0" fillId="0" borderId="0" xfId="0" applyNumberFormat="1" applyFont="1" applyBorder="1" applyAlignment="1" applyProtection="1">
      <alignment horizontal="left" vertical="top"/>
      <protection locked="0"/>
    </xf>
    <xf numFmtId="41" fontId="0" fillId="0" borderId="39" xfId="0" applyNumberFormat="1" applyFont="1" applyBorder="1" applyAlignment="1" applyProtection="1">
      <alignment horizontal="left" vertical="top"/>
      <protection locked="0"/>
    </xf>
    <xf numFmtId="41" fontId="0" fillId="0" borderId="40" xfId="0" applyNumberFormat="1" applyFont="1" applyBorder="1" applyAlignment="1" applyProtection="1">
      <alignment horizontal="left" vertical="top"/>
      <protection locked="0"/>
    </xf>
    <xf numFmtId="41" fontId="0" fillId="0" borderId="18" xfId="0" applyNumberFormat="1" applyFont="1" applyBorder="1" applyAlignment="1" applyProtection="1">
      <alignment horizontal="left" vertical="top"/>
      <protection locked="0"/>
    </xf>
    <xf numFmtId="41" fontId="0" fillId="0" borderId="41" xfId="0" applyNumberFormat="1" applyFont="1" applyBorder="1" applyAlignment="1" applyProtection="1">
      <alignment horizontal="left" vertical="top"/>
      <protection locked="0"/>
    </xf>
    <xf numFmtId="41" fontId="30" fillId="0" borderId="0" xfId="0" applyNumberFormat="1" applyFont="1" applyBorder="1" applyAlignment="1" applyProtection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 applyProtection="1">
      <alignment vertical="top"/>
      <protection locked="0"/>
    </xf>
    <xf numFmtId="41" fontId="0" fillId="0" borderId="19" xfId="0" applyNumberFormat="1" applyFont="1" applyBorder="1" applyAlignment="1" applyProtection="1">
      <alignment vertical="top"/>
      <protection locked="0"/>
    </xf>
    <xf numFmtId="41" fontId="0" fillId="0" borderId="37" xfId="0" applyNumberFormat="1" applyFont="1" applyBorder="1" applyAlignment="1" applyProtection="1">
      <alignment vertical="top"/>
      <protection locked="0"/>
    </xf>
    <xf numFmtId="41" fontId="0" fillId="0" borderId="38" xfId="0" applyNumberFormat="1" applyFont="1" applyBorder="1" applyAlignment="1" applyProtection="1">
      <alignment vertical="top"/>
      <protection locked="0"/>
    </xf>
    <xf numFmtId="41" fontId="0" fillId="0" borderId="0" xfId="0" applyNumberFormat="1" applyFont="1" applyBorder="1" applyAlignment="1" applyProtection="1">
      <alignment vertical="top"/>
      <protection locked="0"/>
    </xf>
    <xf numFmtId="41" fontId="0" fillId="0" borderId="39" xfId="0" applyNumberFormat="1" applyFont="1" applyBorder="1" applyAlignment="1" applyProtection="1">
      <alignment vertical="top"/>
      <protection locked="0"/>
    </xf>
    <xf numFmtId="41" fontId="0" fillId="0" borderId="40" xfId="0" applyNumberFormat="1" applyFont="1" applyBorder="1" applyAlignment="1" applyProtection="1">
      <alignment vertical="top"/>
      <protection locked="0"/>
    </xf>
    <xf numFmtId="41" fontId="0" fillId="0" borderId="18" xfId="0" applyNumberFormat="1" applyFont="1" applyBorder="1" applyAlignment="1" applyProtection="1">
      <alignment vertical="top"/>
      <protection locked="0"/>
    </xf>
    <xf numFmtId="41" fontId="0" fillId="0" borderId="41" xfId="0" applyNumberFormat="1" applyFont="1" applyBorder="1" applyAlignment="1" applyProtection="1">
      <alignment vertical="top"/>
      <protection locked="0"/>
    </xf>
  </cellXfs>
  <cellStyles count="13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lumn Heading" xfId="55"/>
    <cellStyle name="Comma [0] 2" xfId="56"/>
    <cellStyle name="Comma [0] 2 2" xfId="57"/>
    <cellStyle name="Comma 2" xfId="58"/>
    <cellStyle name="Comma 2 2" xfId="59"/>
    <cellStyle name="Comma 3" xfId="60"/>
    <cellStyle name="Comma 4" xfId="61"/>
    <cellStyle name="Comma 5" xfId="62"/>
    <cellStyle name="Comma 6" xfId="63"/>
    <cellStyle name="Comma 7" xfId="64"/>
    <cellStyle name="Currency" xfId="65" builtinId="4"/>
    <cellStyle name="Currency [0] 2" xfId="66"/>
    <cellStyle name="Currency [0] 2 2" xfId="67"/>
    <cellStyle name="Currency 10" xfId="68"/>
    <cellStyle name="Currency 11" xfId="69"/>
    <cellStyle name="Currency 12" xfId="70"/>
    <cellStyle name="Currency 13" xfId="71"/>
    <cellStyle name="Currency 14" xfId="72"/>
    <cellStyle name="Currency 15" xfId="73"/>
    <cellStyle name="Currency 16" xfId="74"/>
    <cellStyle name="Currency 17" xfId="75"/>
    <cellStyle name="Currency 18" xfId="76"/>
    <cellStyle name="Currency 19" xfId="77"/>
    <cellStyle name="Currency 2" xfId="78"/>
    <cellStyle name="Currency 2 2" xfId="79"/>
    <cellStyle name="Currency 2 3" xfId="80"/>
    <cellStyle name="Currency 20" xfId="81"/>
    <cellStyle name="Currency 21" xfId="82"/>
    <cellStyle name="Currency 22" xfId="83"/>
    <cellStyle name="Currency 23" xfId="84"/>
    <cellStyle name="Currency 24" xfId="85"/>
    <cellStyle name="Currency 25" xfId="86"/>
    <cellStyle name="Currency 26" xfId="87"/>
    <cellStyle name="Currency 27" xfId="88"/>
    <cellStyle name="Currency 3" xfId="89"/>
    <cellStyle name="Currency 4" xfId="90"/>
    <cellStyle name="Currency 5" xfId="91"/>
    <cellStyle name="Currency 6" xfId="92"/>
    <cellStyle name="Currency 7" xfId="93"/>
    <cellStyle name="Currency 8" xfId="94"/>
    <cellStyle name="Currency 9" xfId="95"/>
    <cellStyle name="Explanatory Text" xfId="96" builtinId="53" customBuiltin="1"/>
    <cellStyle name="Explanatory Text 2" xfId="97"/>
    <cellStyle name="Good" xfId="98" builtinId="26" customBuiltin="1"/>
    <cellStyle name="Good 2" xfId="99"/>
    <cellStyle name="Heading 1" xfId="100" builtinId="16" customBuiltin="1"/>
    <cellStyle name="Heading 1 2" xfId="101"/>
    <cellStyle name="Heading 2" xfId="102" builtinId="17" customBuiltin="1"/>
    <cellStyle name="Heading 2 2" xfId="103"/>
    <cellStyle name="Heading 3" xfId="104" builtinId="18" customBuiltin="1"/>
    <cellStyle name="Heading 3 2" xfId="105"/>
    <cellStyle name="Heading 4" xfId="106" builtinId="19" customBuiltin="1"/>
    <cellStyle name="Heading 4 2" xfId="107"/>
    <cellStyle name="Input" xfId="108" builtinId="20" customBuiltin="1"/>
    <cellStyle name="Input 2" xfId="109"/>
    <cellStyle name="Linked Cell" xfId="110" builtinId="24" customBuiltin="1"/>
    <cellStyle name="Linked Cell 2" xfId="111"/>
    <cellStyle name="Neutral" xfId="112" builtinId="28" customBuiltin="1"/>
    <cellStyle name="Neutral 2" xfId="113"/>
    <cellStyle name="Normal" xfId="0" builtinId="0"/>
    <cellStyle name="Normal 2" xfId="114"/>
    <cellStyle name="Normal 2 2" xfId="115"/>
    <cellStyle name="Normal 2 3" xfId="116"/>
    <cellStyle name="Normal 3" xfId="117"/>
    <cellStyle name="Normal 4" xfId="118"/>
    <cellStyle name="Note" xfId="119" builtinId="10" customBuiltin="1"/>
    <cellStyle name="Note 2" xfId="120"/>
    <cellStyle name="Output" xfId="121" builtinId="21" customBuiltin="1"/>
    <cellStyle name="Output 2" xfId="122"/>
    <cellStyle name="Percent" xfId="123" builtinId="5"/>
    <cellStyle name="Percent 2" xfId="124"/>
    <cellStyle name="Percent 2 2" xfId="125"/>
    <cellStyle name="Percent 2 3" xfId="126"/>
    <cellStyle name="Percent 3" xfId="127"/>
    <cellStyle name="Percent 4" xfId="128"/>
    <cellStyle name="Text Column (No indent)" xfId="129"/>
    <cellStyle name="Title" xfId="130" builtinId="15" customBuiltin="1"/>
    <cellStyle name="Title 2" xfId="131"/>
    <cellStyle name="Total" xfId="132" builtinId="25" customBuiltin="1"/>
    <cellStyle name="Total 2" xfId="133"/>
    <cellStyle name="Warning Text" xfId="134" builtinId="11" customBuiltin="1"/>
    <cellStyle name="Warning Text 2" xfId="135"/>
  </cellStyles>
  <dxfs count="9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4060721062622E-2"/>
          <c:y val="0.18493181609156961"/>
          <c:w val="0.88425047438330173"/>
          <c:h val="0.71917928480054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Revenues!$H$32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1"/>
          <c:cat>
            <c:numRef>
              <c:f>Revenues!$I$21:$M$21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Revenues!$I$32:$M$32</c:f>
              <c:numCache>
                <c:formatCode>_(* #,##0_);_(* \(#,##0\);_(* "-"_);_(@_)</c:formatCode>
                <c:ptCount val="5"/>
                <c:pt idx="0">
                  <c:v>9024352</c:v>
                </c:pt>
                <c:pt idx="1">
                  <c:v>9187499</c:v>
                </c:pt>
                <c:pt idx="2">
                  <c:v>8784943</c:v>
                </c:pt>
                <c:pt idx="3">
                  <c:v>8954940</c:v>
                </c:pt>
                <c:pt idx="4">
                  <c:v>9228224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96960"/>
        <c:axId val="173098496"/>
      </c:barChart>
      <c:catAx>
        <c:axId val="1730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9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0984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9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38410596026491"/>
          <c:y val="5.8282208588957052E-2"/>
          <c:w val="0.81456953642384111"/>
          <c:h val="0.73312883435582821"/>
        </c:manualLayout>
      </c:layout>
      <c:lineChart>
        <c:grouping val="standard"/>
        <c:varyColors val="0"/>
        <c:ser>
          <c:idx val="0"/>
          <c:order val="0"/>
          <c:tx>
            <c:strRef>
              <c:f>Obligations!$B$5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Obligations!$C$4:$G$4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Obligations!$C$5:$G$5</c:f>
              <c:numCache>
                <c:formatCode>_(* #,##0_);_(* \(#,##0\);_(* "-"_);_(@_)</c:formatCode>
                <c:ptCount val="5"/>
                <c:pt idx="0">
                  <c:v>69335021</c:v>
                </c:pt>
                <c:pt idx="1">
                  <c:v>70892326</c:v>
                </c:pt>
                <c:pt idx="2">
                  <c:v>72056110</c:v>
                </c:pt>
                <c:pt idx="3">
                  <c:v>74175758</c:v>
                </c:pt>
                <c:pt idx="4">
                  <c:v>76108785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Obligations!$B$6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Obligations!$C$4:$G$4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Obligations!$C$6:$G$6</c:f>
              <c:numCache>
                <c:formatCode>_(* #,##0_);_(* \(#,##0\);_(* "-"_);_(@_)</c:formatCode>
                <c:ptCount val="5"/>
                <c:pt idx="0">
                  <c:v>71054027</c:v>
                </c:pt>
                <c:pt idx="1">
                  <c:v>76731636</c:v>
                </c:pt>
                <c:pt idx="2">
                  <c:v>80585059</c:v>
                </c:pt>
                <c:pt idx="3">
                  <c:v>85412709</c:v>
                </c:pt>
                <c:pt idx="4">
                  <c:v>91254815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58528"/>
        <c:axId val="172760064"/>
      </c:lineChart>
      <c:catAx>
        <c:axId val="1727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60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760064"/>
        <c:scaling>
          <c:orientation val="minMax"/>
          <c:min val="550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58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337748344370855E-2"/>
          <c:y val="0.89570552147239269"/>
          <c:w val="0.89735099337748347"/>
          <c:h val="0.969325153374233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8411805283605"/>
          <c:y val="5.8282208588957052E-2"/>
          <c:w val="0.81543757772778436"/>
          <c:h val="0.73312883435582821"/>
        </c:manualLayout>
      </c:layout>
      <c:lineChart>
        <c:grouping val="standard"/>
        <c:varyColors val="0"/>
        <c:ser>
          <c:idx val="0"/>
          <c:order val="0"/>
          <c:tx>
            <c:strRef>
              <c:f>Obligations!$K$5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Obligations!$L$4:$P$4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Obligations!$L$5:$P$5</c:f>
              <c:numCache>
                <c:formatCode>_(* #,##0_);_(* \(#,##0\);_(* "-"_);_(@_)</c:formatCode>
                <c:ptCount val="5"/>
                <c:pt idx="0">
                  <c:v>600000</c:v>
                </c:pt>
                <c:pt idx="1">
                  <c:v>1069115</c:v>
                </c:pt>
                <c:pt idx="2">
                  <c:v>1069115</c:v>
                </c:pt>
                <c:pt idx="3">
                  <c:v>1414043</c:v>
                </c:pt>
                <c:pt idx="4">
                  <c:v>1414043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Obligations!$K$6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Obligations!$L$4:$P$4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Obligations!$L$6:$P$6</c:f>
              <c:numCache>
                <c:formatCode>_(* #,##0_);_(* \(#,##0\);_(* "-"_);_(@_)</c:formatCode>
                <c:ptCount val="5"/>
                <c:pt idx="0">
                  <c:v>5242414</c:v>
                </c:pt>
                <c:pt idx="1">
                  <c:v>5293565</c:v>
                </c:pt>
                <c:pt idx="2">
                  <c:v>5293565</c:v>
                </c:pt>
                <c:pt idx="3">
                  <c:v>5984348</c:v>
                </c:pt>
                <c:pt idx="4">
                  <c:v>5984348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87200"/>
        <c:axId val="172788736"/>
      </c:lineChart>
      <c:catAx>
        <c:axId val="1727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8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7887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87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3959887667102837E-2"/>
          <c:y val="0.90490797546012269"/>
          <c:w val="0.90268604179579592"/>
          <c:h val="0.97852760736196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1479235722061"/>
          <c:y val="5.2795111114480896E-2"/>
          <c:w val="0.81108412100042437"/>
          <c:h val="0.73292036605985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Obligations!$U$4</c:f>
              <c:strCache>
                <c:ptCount val="1"/>
                <c:pt idx="0">
                  <c:v>12/31/2013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Obligations!$T$5:$T$7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Obligations!$U$5:$U$7</c:f>
              <c:numCache>
                <c:formatCode>0%</c:formatCode>
                <c:ptCount val="3"/>
                <c:pt idx="0">
                  <c:v>0.86843935602136213</c:v>
                </c:pt>
                <c:pt idx="1">
                  <c:v>0.23629023579511085</c:v>
                </c:pt>
                <c:pt idx="2">
                  <c:v>0.82704852301754095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Obligations!$V$4</c:f>
              <c:strCache>
                <c:ptCount val="1"/>
                <c:pt idx="0">
                  <c:v>12/31/2014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Obligations!$T$5:$T$7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Obligations!$V$5:$V$7</c:f>
              <c:numCache>
                <c:formatCode>0%</c:formatCode>
                <c:ptCount val="3"/>
                <c:pt idx="0">
                  <c:v>0.83402486761931416</c:v>
                </c:pt>
                <c:pt idx="1">
                  <c:v>0.23629023579511085</c:v>
                </c:pt>
                <c:pt idx="2">
                  <c:v>0.79723874217222546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9600"/>
        <c:axId val="172831872"/>
      </c:barChart>
      <c:catAx>
        <c:axId val="172809600"/>
        <c:scaling>
          <c:orientation val="minMax"/>
        </c:scaling>
        <c:delete val="0"/>
        <c:axPos val="b"/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831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8318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809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692721659162882"/>
          <c:y val="0.91615037250778431"/>
          <c:w val="0.73047938277236757"/>
          <c:h val="0.990684533998467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0664206642069E-2"/>
          <c:y val="5.2959662674207417E-2"/>
          <c:w val="0.5719557195571956"/>
          <c:h val="0.856700425612178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Obligations!$B$21</c:f>
              <c:strCache>
                <c:ptCount val="1"/>
                <c:pt idx="0">
                  <c:v> Bonds &amp; Contracts Payable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Obligations!$C$20:$G$20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Obligations!$C$21:$G$21</c:f>
              <c:numCache>
                <c:formatCode>_(* #,##0_);_(* \(#,##0\);_(* "-"_);_(@_)</c:formatCode>
                <c:ptCount val="5"/>
                <c:pt idx="0">
                  <c:v>10395000</c:v>
                </c:pt>
                <c:pt idx="1">
                  <c:v>9805000</c:v>
                </c:pt>
                <c:pt idx="2">
                  <c:v>9140000</c:v>
                </c:pt>
                <c:pt idx="3">
                  <c:v>8435000</c:v>
                </c:pt>
                <c:pt idx="4">
                  <c:v>18740000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Obligations!$B$22</c:f>
              <c:strCache>
                <c:ptCount val="1"/>
                <c:pt idx="0">
                  <c:v> Capital Leases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Obligations!$C$20:$G$20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Obligations!$C$22:$G$22</c:f>
              <c:numCache>
                <c:formatCode>_(* #,##0_);_(* \(#,##0\);_(* "-"_);_(@_)</c:formatCode>
                <c:ptCount val="5"/>
                <c:pt idx="0">
                  <c:v>1134626</c:v>
                </c:pt>
                <c:pt idx="1">
                  <c:v>1134626</c:v>
                </c:pt>
                <c:pt idx="2">
                  <c:v>1134626</c:v>
                </c:pt>
                <c:pt idx="3">
                  <c:v>1116391</c:v>
                </c:pt>
                <c:pt idx="4">
                  <c:v>1096130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Obligations!$B$23</c:f>
              <c:strCache>
                <c:ptCount val="1"/>
                <c:pt idx="0">
                  <c:v> Other Contractual Debt 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invertIfNegative val="1"/>
          <c:cat>
            <c:numRef>
              <c:f>Obligations!$C$20:$G$20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Obligations!$C$23:$G$23</c:f>
              <c:numCache>
                <c:formatCode>_(* #,##0_);_(* \(#,##0\);_(* "-"_);_(@_)</c:formatCode>
                <c:ptCount val="5"/>
                <c:pt idx="0">
                  <c:v>40000</c:v>
                </c:pt>
                <c:pt idx="1">
                  <c:v>35000</c:v>
                </c:pt>
                <c:pt idx="2">
                  <c:v>30000</c:v>
                </c:pt>
                <c:pt idx="3">
                  <c:v>20000</c:v>
                </c:pt>
                <c:pt idx="4">
                  <c:v>10000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Obligations!$B$24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Obligations!$C$20:$G$20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Obligations!$C$24:$G$24</c:f>
              <c:numCache>
                <c:formatCode>_(* #,##0_);_(* \(#,##0\);_(* "-"_);_(@_)</c:formatCode>
                <c:ptCount val="5"/>
                <c:pt idx="0">
                  <c:v>955125</c:v>
                </c:pt>
                <c:pt idx="1">
                  <c:v>1027047</c:v>
                </c:pt>
                <c:pt idx="2">
                  <c:v>1063876</c:v>
                </c:pt>
                <c:pt idx="3">
                  <c:v>935600</c:v>
                </c:pt>
                <c:pt idx="4">
                  <c:v>908375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Obligations!$B$25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Obligations!$C$20:$G$20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Obligations!$C$25:$G$25</c:f>
              <c:numCache>
                <c:formatCode>_(* #,##0_);_(* \(#,##0\);_(* "-"_);_(@_)</c:formatCode>
                <c:ptCount val="5"/>
                <c:pt idx="0">
                  <c:v>16648</c:v>
                </c:pt>
                <c:pt idx="1">
                  <c:v>12610</c:v>
                </c:pt>
                <c:pt idx="2">
                  <c:v>9438</c:v>
                </c:pt>
                <c:pt idx="3">
                  <c:v>0</c:v>
                </c:pt>
                <c:pt idx="4">
                  <c:v>948195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867584"/>
        <c:axId val="172869120"/>
      </c:barChart>
      <c:catAx>
        <c:axId val="1728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86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8691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867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985239852398521"/>
          <c:y val="6.9480707434935118E-2"/>
          <c:w val="0.97785977859778594"/>
          <c:h val="0.915890794024578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1450381679392E-2"/>
          <c:y val="5.2631578947368418E-2"/>
          <c:w val="0.54770992366412219"/>
          <c:h val="0.85448916408668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Obligations!$Q$21</c:f>
              <c:strCache>
                <c:ptCount val="1"/>
                <c:pt idx="0">
                  <c:v> Bonds &amp; Contracts Payable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Obligations!$R$20:$S$20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Obligations!$R$21:$S$21</c:f>
              <c:numCache>
                <c:formatCode>_(* #,##0_);_(* \(#,##0\);_(* "-"_);_(@_)</c:formatCode>
                <c:ptCount val="2"/>
                <c:pt idx="0">
                  <c:v>769.26584587323305</c:v>
                </c:pt>
                <c:pt idx="1">
                  <c:v>1709.0743274053807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Obligations!$Q$22</c:f>
              <c:strCache>
                <c:ptCount val="1"/>
                <c:pt idx="0">
                  <c:v> Capital Leases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Obligations!$R$20:$S$20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Obligations!$R$22:$S$22</c:f>
              <c:numCache>
                <c:formatCode>_(* #,##0_);_(* \(#,##0\);_(* "-"_);_(@_)</c:formatCode>
                <c:ptCount val="2"/>
                <c:pt idx="0">
                  <c:v>101.81404468764249</c:v>
                </c:pt>
                <c:pt idx="1">
                  <c:v>99.966256269949838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Obligations!$Q$23</c:f>
              <c:strCache>
                <c:ptCount val="1"/>
                <c:pt idx="0">
                  <c:v> Other Contractual Debt 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invertIfNegative val="1"/>
          <c:cat>
            <c:numRef>
              <c:f>Obligations!$R$20:$S$20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Obligations!$R$23:$S$23</c:f>
              <c:numCache>
                <c:formatCode>_(* #,##0_);_(* \(#,##0\);_(* "-"_);_(@_)</c:formatCode>
                <c:ptCount val="2"/>
                <c:pt idx="0">
                  <c:v>1.823985408116735</c:v>
                </c:pt>
                <c:pt idx="1">
                  <c:v>0.91199270405836752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Obligations!$Q$24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Obligations!$R$20:$S$20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Obligations!$R$24:$S$24</c:f>
              <c:numCache>
                <c:formatCode>_(* #,##0_);_(* \(#,##0\);_(* "-"_);_(@_)</c:formatCode>
                <c:ptCount val="2"/>
                <c:pt idx="0">
                  <c:v>85.326037391700865</c:v>
                </c:pt>
                <c:pt idx="1">
                  <c:v>82.843137254901961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Obligations!$Q$25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Obligations!$R$20:$S$20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Obligations!$R$25:$S$25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86.474692202462379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959616"/>
        <c:axId val="172961152"/>
      </c:barChart>
      <c:catAx>
        <c:axId val="1729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96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9611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959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86037886568527"/>
          <c:y val="5.1624940071345576E-2"/>
          <c:w val="0.95097036783445554"/>
          <c:h val="0.90906023743936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246973365617433"/>
          <c:y val="3.61842105263157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19612590799029E-2"/>
          <c:y val="0.10855280593519662"/>
          <c:w val="0.55447941888619856"/>
          <c:h val="0.75329068361090989"/>
        </c:manualLayout>
      </c:layout>
      <c:pieChart>
        <c:varyColors val="1"/>
        <c:ser>
          <c:idx val="0"/>
          <c:order val="0"/>
          <c:tx>
            <c:strRef>
              <c:f>Revenues!$K$4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cat>
            <c:strRef>
              <c:f>Revenues!$I$5:$I$15</c:f>
              <c:strCache>
                <c:ptCount val="11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Bond Proceeds </c:v>
                </c:pt>
                <c:pt idx="9">
                  <c:v> Interfund Transfers In </c:v>
                </c:pt>
                <c:pt idx="10">
                  <c:v> Other Revenues </c:v>
                </c:pt>
              </c:strCache>
            </c:strRef>
          </c:cat>
          <c:val>
            <c:numRef>
              <c:f>Revenues!$K$5:$K$15</c:f>
              <c:numCache>
                <c:formatCode>_("$"* #,##0_);_("$"* \(#,##0\);_("$"* "-"_);_(@_)</c:formatCode>
                <c:ptCount val="11"/>
                <c:pt idx="0">
                  <c:v>9228224</c:v>
                </c:pt>
                <c:pt idx="1">
                  <c:v>529776</c:v>
                </c:pt>
                <c:pt idx="2">
                  <c:v>206563</c:v>
                </c:pt>
                <c:pt idx="3">
                  <c:v>1933101</c:v>
                </c:pt>
                <c:pt idx="4">
                  <c:v>964510</c:v>
                </c:pt>
                <c:pt idx="5">
                  <c:v>601906</c:v>
                </c:pt>
                <c:pt idx="6">
                  <c:v>97268</c:v>
                </c:pt>
                <c:pt idx="7">
                  <c:v>396668</c:v>
                </c:pt>
                <c:pt idx="8">
                  <c:v>12261195</c:v>
                </c:pt>
                <c:pt idx="9">
                  <c:v>6343543</c:v>
                </c:pt>
                <c:pt idx="10">
                  <c:v>217737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01210653753025"/>
          <c:y val="5.8290164387346313E-2"/>
          <c:w val="0.31961259079903148"/>
          <c:h val="0.9109013675922088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077472200032967"/>
          <c:y val="6.1224846894138235E-2"/>
          <c:w val="0.53026634382566584"/>
          <c:h val="0.792519149392040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Revenues!$J$4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Revenues!$I$5:$I$15</c:f>
              <c:strCache>
                <c:ptCount val="11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Bond Proceeds </c:v>
                </c:pt>
                <c:pt idx="9">
                  <c:v> Interfund Transfers In </c:v>
                </c:pt>
                <c:pt idx="10">
                  <c:v> Other Revenues </c:v>
                </c:pt>
              </c:strCache>
            </c:strRef>
          </c:cat>
          <c:val>
            <c:numRef>
              <c:f>Revenues!$J$5:$J$14</c:f>
              <c:numCache>
                <c:formatCode>_("$"* #,##0_);_("$"* \(#,##0\);_("$"* "-"_);_(@_)</c:formatCode>
                <c:ptCount val="10"/>
                <c:pt idx="0">
                  <c:v>8954940</c:v>
                </c:pt>
                <c:pt idx="1">
                  <c:v>577518</c:v>
                </c:pt>
                <c:pt idx="2">
                  <c:v>1753581</c:v>
                </c:pt>
                <c:pt idx="3">
                  <c:v>1937293</c:v>
                </c:pt>
                <c:pt idx="4">
                  <c:v>1039978</c:v>
                </c:pt>
                <c:pt idx="5">
                  <c:v>669908</c:v>
                </c:pt>
                <c:pt idx="6">
                  <c:v>127788</c:v>
                </c:pt>
                <c:pt idx="7">
                  <c:v>264356</c:v>
                </c:pt>
                <c:pt idx="8">
                  <c:v>0</c:v>
                </c:pt>
                <c:pt idx="9">
                  <c:v>5999231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Revenues!$K$4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dPt>
            <c:idx val="8"/>
            <c:invertIfNegative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cat>
            <c:strRef>
              <c:f>Revenues!$I$5:$I$15</c:f>
              <c:strCache>
                <c:ptCount val="11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Bond Proceeds </c:v>
                </c:pt>
                <c:pt idx="9">
                  <c:v> Interfund Transfers In </c:v>
                </c:pt>
                <c:pt idx="10">
                  <c:v> Other Revenues </c:v>
                </c:pt>
              </c:strCache>
            </c:strRef>
          </c:cat>
          <c:val>
            <c:numRef>
              <c:f>Revenues!$K$5:$K$14</c:f>
              <c:numCache>
                <c:formatCode>_("$"* #,##0_);_("$"* \(#,##0\);_("$"* "-"_);_(@_)</c:formatCode>
                <c:ptCount val="10"/>
                <c:pt idx="0">
                  <c:v>9228224</c:v>
                </c:pt>
                <c:pt idx="1">
                  <c:v>529776</c:v>
                </c:pt>
                <c:pt idx="2">
                  <c:v>206563</c:v>
                </c:pt>
                <c:pt idx="3">
                  <c:v>1933101</c:v>
                </c:pt>
                <c:pt idx="4">
                  <c:v>964510</c:v>
                </c:pt>
                <c:pt idx="5">
                  <c:v>601906</c:v>
                </c:pt>
                <c:pt idx="6">
                  <c:v>97268</c:v>
                </c:pt>
                <c:pt idx="7">
                  <c:v>396668</c:v>
                </c:pt>
                <c:pt idx="8">
                  <c:v>12261195</c:v>
                </c:pt>
                <c:pt idx="9">
                  <c:v>6343543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12352"/>
        <c:axId val="204613888"/>
      </c:barChart>
      <c:catAx>
        <c:axId val="204612352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61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61388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_);_(&quot;$&quot;* \(#,##0\);_(&quot;$&quot;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612352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0.71670711450923708"/>
                <c:y val="0.93197564590140514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9128011540930265E-2"/>
          <c:y val="0.87642009034584967"/>
          <c:w val="0.23486682808716708"/>
          <c:h val="8.16330101594443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69138793562775E-2"/>
          <c:y val="0.1501416430594901"/>
          <c:w val="0.88225681853884641"/>
          <c:h val="0.7563739376770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Expenditures!$H$36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Expenditures!$I$24:$M$24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Expenditures!$I$36:$M$36</c:f>
              <c:numCache>
                <c:formatCode>_(* #,##0_);_(* \(#,##0\);_(* "-"_);_(@_)</c:formatCode>
                <c:ptCount val="5"/>
                <c:pt idx="0">
                  <c:v>2628804</c:v>
                </c:pt>
                <c:pt idx="1">
                  <c:v>2265969</c:v>
                </c:pt>
                <c:pt idx="2">
                  <c:v>2588230</c:v>
                </c:pt>
                <c:pt idx="3">
                  <c:v>1953847</c:v>
                </c:pt>
                <c:pt idx="4">
                  <c:v>2032262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27520"/>
        <c:axId val="172441600"/>
      </c:barChart>
      <c:catAx>
        <c:axId val="1724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4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4416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27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78459149559942"/>
          <c:y val="3.4810315377244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357715830478735E-2"/>
          <c:y val="9.8101417408489613E-2"/>
          <c:w val="0.5408400180222519"/>
          <c:h val="0.77531765371225669"/>
        </c:manualLayout>
      </c:layout>
      <c:pieChart>
        <c:varyColors val="1"/>
        <c:ser>
          <c:idx val="0"/>
          <c:order val="0"/>
          <c:tx>
            <c:strRef>
              <c:f>Expenditures!$K$4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1C3D5"/>
              </a:solidFill>
              <a:ln w="25400">
                <a:noFill/>
              </a:ln>
            </c:spPr>
          </c:dPt>
          <c:cat>
            <c:strRef>
              <c:f>Expenditures!$I$5:$I$15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Interfund Transfers Out </c:v>
                </c:pt>
              </c:strCache>
            </c:strRef>
          </c:cat>
          <c:val>
            <c:numRef>
              <c:f>Expenditures!$K$5:$K$15</c:f>
              <c:numCache>
                <c:formatCode>_("$"* #,##0_);_("$"* \(#,##0\);_("$"* "-"??_);_(@_)</c:formatCode>
                <c:ptCount val="11"/>
                <c:pt idx="0">
                  <c:v>2032262</c:v>
                </c:pt>
                <c:pt idx="1">
                  <c:v>3813953</c:v>
                </c:pt>
                <c:pt idx="2">
                  <c:v>274970</c:v>
                </c:pt>
                <c:pt idx="3">
                  <c:v>1346165</c:v>
                </c:pt>
                <c:pt idx="4">
                  <c:v>1870503</c:v>
                </c:pt>
                <c:pt idx="5">
                  <c:v>0</c:v>
                </c:pt>
                <c:pt idx="6">
                  <c:v>344778</c:v>
                </c:pt>
                <c:pt idx="7">
                  <c:v>1196643</c:v>
                </c:pt>
                <c:pt idx="8">
                  <c:v>2074802</c:v>
                </c:pt>
                <c:pt idx="9">
                  <c:v>2085461</c:v>
                </c:pt>
                <c:pt idx="10">
                  <c:v>7633428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178211167312702"/>
          <c:y val="6.5432487605715947E-2"/>
          <c:w val="0.94628611820873387"/>
          <c:h val="0.954627338249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203168553326248"/>
          <c:y val="9.3484419263456089E-2"/>
          <c:w val="0.54746254885517742"/>
          <c:h val="0.72766017562252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Expenditures!$J$4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Expenditures!$I$5:$I$15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Interfund Transfers Out </c:v>
                </c:pt>
              </c:strCache>
            </c:strRef>
          </c:cat>
          <c:val>
            <c:numRef>
              <c:f>Expenditures!$J$5:$J$15</c:f>
              <c:numCache>
                <c:formatCode>_("$"* #,##0_);_("$"* \(#,##0\);_("$"* "-"??_);_(@_)</c:formatCode>
                <c:ptCount val="11"/>
                <c:pt idx="0">
                  <c:v>1953847</c:v>
                </c:pt>
                <c:pt idx="1">
                  <c:v>3826937</c:v>
                </c:pt>
                <c:pt idx="2">
                  <c:v>290425</c:v>
                </c:pt>
                <c:pt idx="3">
                  <c:v>1488507</c:v>
                </c:pt>
                <c:pt idx="4">
                  <c:v>1769434</c:v>
                </c:pt>
                <c:pt idx="5">
                  <c:v>0</c:v>
                </c:pt>
                <c:pt idx="6">
                  <c:v>432037</c:v>
                </c:pt>
                <c:pt idx="7">
                  <c:v>1249493</c:v>
                </c:pt>
                <c:pt idx="8">
                  <c:v>5320577</c:v>
                </c:pt>
                <c:pt idx="9">
                  <c:v>1888493</c:v>
                </c:pt>
                <c:pt idx="10">
                  <c:v>4716331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Expenditures!$K$4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Expenditures!$I$5:$I$15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Interfund Transfers Out </c:v>
                </c:pt>
              </c:strCache>
            </c:strRef>
          </c:cat>
          <c:val>
            <c:numRef>
              <c:f>Expenditures!$K$5:$K$15</c:f>
              <c:numCache>
                <c:formatCode>_("$"* #,##0_);_("$"* \(#,##0\);_("$"* "-"??_);_(@_)</c:formatCode>
                <c:ptCount val="11"/>
                <c:pt idx="0">
                  <c:v>2032262</c:v>
                </c:pt>
                <c:pt idx="1">
                  <c:v>3813953</c:v>
                </c:pt>
                <c:pt idx="2">
                  <c:v>274970</c:v>
                </c:pt>
                <c:pt idx="3">
                  <c:v>1346165</c:v>
                </c:pt>
                <c:pt idx="4">
                  <c:v>1870503</c:v>
                </c:pt>
                <c:pt idx="5">
                  <c:v>0</c:v>
                </c:pt>
                <c:pt idx="6">
                  <c:v>344778</c:v>
                </c:pt>
                <c:pt idx="7">
                  <c:v>1196643</c:v>
                </c:pt>
                <c:pt idx="8">
                  <c:v>2074802</c:v>
                </c:pt>
                <c:pt idx="9">
                  <c:v>2085461</c:v>
                </c:pt>
                <c:pt idx="10">
                  <c:v>7633428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75360"/>
        <c:axId val="172609920"/>
      </c:barChart>
      <c:catAx>
        <c:axId val="172575360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609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60992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575360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0.77115688353525347"/>
                <c:y val="0.9178470254957507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5320157827953624"/>
          <c:y val="0.91218130311614731"/>
          <c:w val="0.78587312347545957"/>
          <c:h val="0.980169971671388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91883696138485"/>
          <c:y val="5.2117346735906227E-2"/>
          <c:w val="0.73303248399551491"/>
          <c:h val="0.7980468718935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Position!$A$5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Position!$B$4:$F$4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Position!$B$5:$F$5</c:f>
              <c:numCache>
                <c:formatCode>_(* #,##0_);_(* \(#,##0\);_(* "-"_);_(@_)</c:formatCode>
                <c:ptCount val="5"/>
                <c:pt idx="0">
                  <c:v>18731145</c:v>
                </c:pt>
                <c:pt idx="1">
                  <c:v>22234869</c:v>
                </c:pt>
                <c:pt idx="2">
                  <c:v>19524934</c:v>
                </c:pt>
                <c:pt idx="3">
                  <c:v>21677779</c:v>
                </c:pt>
                <c:pt idx="4">
                  <c:v>32780491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Position!$A$6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Position!$B$4:$F$4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Position!$B$6:$F$6</c:f>
              <c:numCache>
                <c:formatCode>_(* #,##0_);_(* \(#,##0\);_(* "-"_);_(@_)</c:formatCode>
                <c:ptCount val="5"/>
                <c:pt idx="0">
                  <c:v>17448165</c:v>
                </c:pt>
                <c:pt idx="1">
                  <c:v>22537539</c:v>
                </c:pt>
                <c:pt idx="2">
                  <c:v>19347696</c:v>
                </c:pt>
                <c:pt idx="3">
                  <c:v>22936081</c:v>
                </c:pt>
                <c:pt idx="4">
                  <c:v>22672965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00192"/>
        <c:axId val="173001728"/>
      </c:barChart>
      <c:lineChart>
        <c:grouping val="standard"/>
        <c:varyColors val="0"/>
        <c:ser>
          <c:idx val="2"/>
          <c:order val="2"/>
          <c:tx>
            <c:strRef>
              <c:f>Position!$A$7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Position!$B$4:$F$4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Position!$B$7:$F$7</c:f>
              <c:numCache>
                <c:formatCode>_(* #,##0_);_(* \(#,##0\);_(* "-"_);_(@_)</c:formatCode>
                <c:ptCount val="5"/>
                <c:pt idx="0">
                  <c:v>15316504</c:v>
                </c:pt>
                <c:pt idx="1">
                  <c:v>14613685</c:v>
                </c:pt>
                <c:pt idx="2">
                  <c:v>14791024</c:v>
                </c:pt>
                <c:pt idx="3">
                  <c:v>13532723</c:v>
                </c:pt>
                <c:pt idx="4">
                  <c:v>24140267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00192"/>
        <c:axId val="173001728"/>
      </c:lineChart>
      <c:catAx>
        <c:axId val="1730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0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001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00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072398190045249E-2"/>
          <c:y val="0.93159745911239922"/>
          <c:w val="0.99095117635182473"/>
          <c:h val="0.990229380936503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88258038145635"/>
          <c:y val="5.4794612175279887E-2"/>
          <c:w val="0.7805438486989279"/>
          <c:h val="0.770549233714873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Position!$J$10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Position!$K$10:$L$10</c:f>
              <c:numCache>
                <c:formatCode>_("$"* #,##0_);_("$"* \(#,##0\);_("$"* "-"??_);_(@_)</c:formatCode>
                <c:ptCount val="2"/>
                <c:pt idx="0">
                  <c:v>1802415</c:v>
                </c:pt>
                <c:pt idx="1">
                  <c:v>1813294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7C80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Position!$J$11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B7B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Position!$K$11:$L$11</c:f>
              <c:numCache>
                <c:formatCode>_("$"* #,##0_);_("$"* \(#,##0\);_("$"* "-"??_);_(@_)</c:formatCode>
                <c:ptCount val="2"/>
                <c:pt idx="0">
                  <c:v>2997948</c:v>
                </c:pt>
                <c:pt idx="1">
                  <c:v>13136342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604B7B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Position!$J$12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Position!$K$12:$L$12</c:f>
              <c:numCache>
                <c:formatCode>_("$"* #,##0_);_("$"* \(#,##0\);_("$"* "-"??_);_(@_)</c:formatCode>
                <c:ptCount val="2"/>
                <c:pt idx="0">
                  <c:v>5675094</c:v>
                </c:pt>
                <c:pt idx="1">
                  <c:v>6060579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39966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Position!$J$13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Position!$K$13:$L$13</c:f>
              <c:numCache>
                <c:formatCode>_("$"* #,##0_);_("$"* \(#,##0\);_("$"* "-"??_);_(@_)</c:formatCode>
                <c:ptCount val="2"/>
                <c:pt idx="0">
                  <c:v>127903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CF305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Position!$J$14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Position!$K$14:$L$14</c:f>
              <c:numCache>
                <c:formatCode>_("$"* #,##0_);_("$"* \(#,##0\);_("$"* "-"??_);_(@_)</c:formatCode>
                <c:ptCount val="2"/>
                <c:pt idx="0">
                  <c:v>2929363</c:v>
                </c:pt>
                <c:pt idx="1">
                  <c:v>3130052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3CCCC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822400"/>
        <c:axId val="204823936"/>
      </c:barChart>
      <c:catAx>
        <c:axId val="2048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82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239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822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8461538461538464E-2"/>
          <c:y val="0.93493294502570734"/>
          <c:w val="0.99095117635182473"/>
          <c:h val="0.982878150505159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20166957763188"/>
          <c:y val="5.4794612175279887E-2"/>
          <c:w val="0.79357153125583502"/>
          <c:h val="0.77054923371487338"/>
        </c:manualLayout>
      </c:layout>
      <c:areaChart>
        <c:grouping val="stacked"/>
        <c:varyColors val="0"/>
        <c:ser>
          <c:idx val="0"/>
          <c:order val="0"/>
          <c:tx>
            <c:strRef>
              <c:f>Position!$I$20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cat>
            <c:numRef>
              <c:f>Position!$J$19:$N$19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Position!$J$20:$N$20</c:f>
              <c:numCache>
                <c:formatCode>_(* #,##0_);_(* \(#,##0\);_(* "-"_);_(@_)</c:formatCode>
                <c:ptCount val="5"/>
                <c:pt idx="0">
                  <c:v>1720980</c:v>
                </c:pt>
                <c:pt idx="1">
                  <c:v>1747635</c:v>
                </c:pt>
                <c:pt idx="2">
                  <c:v>1769738</c:v>
                </c:pt>
                <c:pt idx="3">
                  <c:v>1802415</c:v>
                </c:pt>
                <c:pt idx="4">
                  <c:v>1813294</c:v>
                </c:pt>
              </c:numCache>
            </c:numRef>
          </c:val>
        </c:ser>
        <c:ser>
          <c:idx val="1"/>
          <c:order val="1"/>
          <c:tx>
            <c:strRef>
              <c:f>Position!$I$21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cat>
            <c:numRef>
              <c:f>Position!$J$19:$N$19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Position!$J$21:$N$21</c:f>
              <c:numCache>
                <c:formatCode>_(* #,##0_);_(* \(#,##0\);_(* "-"_);_(@_)</c:formatCode>
                <c:ptCount val="5"/>
                <c:pt idx="0">
                  <c:v>7673058</c:v>
                </c:pt>
                <c:pt idx="1">
                  <c:v>6433381</c:v>
                </c:pt>
                <c:pt idx="2">
                  <c:v>5610884</c:v>
                </c:pt>
                <c:pt idx="3">
                  <c:v>2997948</c:v>
                </c:pt>
                <c:pt idx="4">
                  <c:v>13136342</c:v>
                </c:pt>
              </c:numCache>
            </c:numRef>
          </c:val>
        </c:ser>
        <c:ser>
          <c:idx val="2"/>
          <c:order val="2"/>
          <c:tx>
            <c:strRef>
              <c:f>Position!$I$22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Position!$J$19:$N$19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Position!$J$22:$N$22</c:f>
              <c:numCache>
                <c:formatCode>_(* #,##0_);_(* \(#,##0\);_(* "-"_);_(@_)</c:formatCode>
                <c:ptCount val="5"/>
                <c:pt idx="0">
                  <c:v>2407427</c:v>
                </c:pt>
                <c:pt idx="1">
                  <c:v>2133864</c:v>
                </c:pt>
                <c:pt idx="2">
                  <c:v>3595207</c:v>
                </c:pt>
                <c:pt idx="3">
                  <c:v>5675094</c:v>
                </c:pt>
                <c:pt idx="4">
                  <c:v>6060579</c:v>
                </c:pt>
              </c:numCache>
            </c:numRef>
          </c:val>
        </c:ser>
        <c:ser>
          <c:idx val="3"/>
          <c:order val="3"/>
          <c:tx>
            <c:strRef>
              <c:f>Position!$I$23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cat>
            <c:numRef>
              <c:f>Position!$J$19:$N$19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Position!$J$23:$N$23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127903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Position!$I$24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cat>
            <c:numRef>
              <c:f>Position!$J$19:$N$19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Position!$J$24:$N$24</c:f>
              <c:numCache>
                <c:formatCode>_(* #,##0_);_(* \(#,##0\);_(* "-"_);_(@_)</c:formatCode>
                <c:ptCount val="5"/>
                <c:pt idx="0">
                  <c:v>3515039</c:v>
                </c:pt>
                <c:pt idx="1">
                  <c:v>4298805</c:v>
                </c:pt>
                <c:pt idx="2">
                  <c:v>3815195</c:v>
                </c:pt>
                <c:pt idx="3">
                  <c:v>2929363</c:v>
                </c:pt>
                <c:pt idx="4">
                  <c:v>3130052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58304"/>
        <c:axId val="173072384"/>
      </c:areaChart>
      <c:catAx>
        <c:axId val="1730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72384"/>
        <c:crosses val="autoZero"/>
        <c:auto val="0"/>
        <c:lblAlgn val="ctr"/>
        <c:lblOffset val="100"/>
        <c:noMultiLvlLbl val="0"/>
      </c:catAx>
      <c:valAx>
        <c:axId val="1730723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583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840947546531303E-2"/>
          <c:y val="0.93493294502570734"/>
          <c:w val="0.94443653934121186"/>
          <c:h val="0.999999999999999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74" dropStyle="combo" dx="16" fmlaLink="$L$20" fmlaRange="$H$22:$H$31" noThreeD="1" val="0"/>
</file>

<file path=xl/ctrlProps/ctrlProp2.xml><?xml version="1.0" encoding="utf-8"?>
<formControlPr xmlns="http://schemas.microsoft.com/office/spreadsheetml/2009/9/main" objectType="Drop" dropLines="74" dropStyle="combo" dx="16" fmlaLink="$L$20" fmlaRange="$H$22:$H$31" noThreeD="1" val="0"/>
</file>

<file path=xl/ctrlProps/ctrlProp3.xml><?xml version="1.0" encoding="utf-8"?>
<formControlPr xmlns="http://schemas.microsoft.com/office/spreadsheetml/2009/9/main" objectType="Drop" dropLines="74" dropStyle="combo" dx="16" fmlaLink="$I$23" fmlaRange="$H$25:$H$35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18</xdr:row>
      <xdr:rowOff>28575</xdr:rowOff>
    </xdr:from>
    <xdr:to>
      <xdr:col>13</xdr:col>
      <xdr:colOff>161925</xdr:colOff>
      <xdr:row>32</xdr:row>
      <xdr:rowOff>142875</xdr:rowOff>
    </xdr:to>
    <xdr:graphicFrame macro="">
      <xdr:nvGraphicFramePr>
        <xdr:cNvPr id="48384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400050</xdr:colOff>
      <xdr:row>16</xdr:row>
      <xdr:rowOff>123825</xdr:rowOff>
    </xdr:to>
    <xdr:graphicFrame macro="">
      <xdr:nvGraphicFramePr>
        <xdr:cNvPr id="4838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18</xdr:row>
      <xdr:rowOff>47625</xdr:rowOff>
    </xdr:from>
    <xdr:to>
      <xdr:col>4</xdr:col>
      <xdr:colOff>400050</xdr:colOff>
      <xdr:row>32</xdr:row>
      <xdr:rowOff>180975</xdr:rowOff>
    </xdr:to>
    <xdr:graphicFrame macro="">
      <xdr:nvGraphicFramePr>
        <xdr:cNvPr id="4838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1162050</xdr:colOff>
          <xdr:row>19</xdr:row>
          <xdr:rowOff>0</xdr:rowOff>
        </xdr:from>
        <xdr:to>
          <xdr:col>9</xdr:col>
          <xdr:colOff>1066800</xdr:colOff>
          <xdr:row>20</xdr:row>
          <xdr:rowOff>47625</xdr:rowOff>
        </xdr:to>
        <xdr:sp macro="" textlink="">
          <xdr:nvSpPr>
            <xdr:cNvPr id="2220" name="Drop Down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1162050</xdr:colOff>
          <xdr:row>19</xdr:row>
          <xdr:rowOff>0</xdr:rowOff>
        </xdr:from>
        <xdr:to>
          <xdr:col>9</xdr:col>
          <xdr:colOff>1066800</xdr:colOff>
          <xdr:row>20</xdr:row>
          <xdr:rowOff>47625</xdr:rowOff>
        </xdr:to>
        <xdr:sp macro="" textlink="">
          <xdr:nvSpPr>
            <xdr:cNvPr id="2722" name="Drop Down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19</xdr:row>
      <xdr:rowOff>28575</xdr:rowOff>
    </xdr:from>
    <xdr:to>
      <xdr:col>13</xdr:col>
      <xdr:colOff>142875</xdr:colOff>
      <xdr:row>36</xdr:row>
      <xdr:rowOff>152400</xdr:rowOff>
    </xdr:to>
    <xdr:graphicFrame macro="">
      <xdr:nvGraphicFramePr>
        <xdr:cNvPr id="49018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</xdr:row>
      <xdr:rowOff>38100</xdr:rowOff>
    </xdr:from>
    <xdr:to>
      <xdr:col>4</xdr:col>
      <xdr:colOff>1028700</xdr:colOff>
      <xdr:row>17</xdr:row>
      <xdr:rowOff>114300</xdr:rowOff>
    </xdr:to>
    <xdr:graphicFrame macro="">
      <xdr:nvGraphicFramePr>
        <xdr:cNvPr id="49018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19</xdr:row>
      <xdr:rowOff>38100</xdr:rowOff>
    </xdr:from>
    <xdr:to>
      <xdr:col>4</xdr:col>
      <xdr:colOff>1028700</xdr:colOff>
      <xdr:row>36</xdr:row>
      <xdr:rowOff>161925</xdr:rowOff>
    </xdr:to>
    <xdr:graphicFrame macro="">
      <xdr:nvGraphicFramePr>
        <xdr:cNvPr id="4901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1476375</xdr:colOff>
          <xdr:row>20</xdr:row>
          <xdr:rowOff>0</xdr:rowOff>
        </xdr:from>
        <xdr:to>
          <xdr:col>9</xdr:col>
          <xdr:colOff>1219200</xdr:colOff>
          <xdr:row>21</xdr:row>
          <xdr:rowOff>66675</xdr:rowOff>
        </xdr:to>
        <xdr:sp macro="" textlink="">
          <xdr:nvSpPr>
            <xdr:cNvPr id="3238" name="Drop Down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5</xdr:col>
      <xdr:colOff>1028700</xdr:colOff>
      <xdr:row>16</xdr:row>
      <xdr:rowOff>133350</xdr:rowOff>
    </xdr:to>
    <xdr:graphicFrame macro="">
      <xdr:nvGraphicFramePr>
        <xdr:cNvPr id="4875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28575</xdr:rowOff>
    </xdr:from>
    <xdr:to>
      <xdr:col>5</xdr:col>
      <xdr:colOff>1019175</xdr:colOff>
      <xdr:row>32</xdr:row>
      <xdr:rowOff>142875</xdr:rowOff>
    </xdr:to>
    <xdr:graphicFrame macro="">
      <xdr:nvGraphicFramePr>
        <xdr:cNvPr id="48752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18</xdr:row>
      <xdr:rowOff>47625</xdr:rowOff>
    </xdr:from>
    <xdr:to>
      <xdr:col>14</xdr:col>
      <xdr:colOff>152400</xdr:colOff>
      <xdr:row>32</xdr:row>
      <xdr:rowOff>161925</xdr:rowOff>
    </xdr:to>
    <xdr:graphicFrame macro="">
      <xdr:nvGraphicFramePr>
        <xdr:cNvPr id="48752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7</xdr:col>
      <xdr:colOff>685800</xdr:colOff>
      <xdr:row>16</xdr:row>
      <xdr:rowOff>190500</xdr:rowOff>
    </xdr:to>
    <xdr:graphicFrame macro="">
      <xdr:nvGraphicFramePr>
        <xdr:cNvPr id="2925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17</xdr:col>
      <xdr:colOff>438150</xdr:colOff>
      <xdr:row>16</xdr:row>
      <xdr:rowOff>180975</xdr:rowOff>
    </xdr:to>
    <xdr:graphicFrame macro="">
      <xdr:nvGraphicFramePr>
        <xdr:cNvPr id="29252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200025</xdr:colOff>
      <xdr:row>2</xdr:row>
      <xdr:rowOff>9525</xdr:rowOff>
    </xdr:from>
    <xdr:to>
      <xdr:col>22</xdr:col>
      <xdr:colOff>762000</xdr:colOff>
      <xdr:row>16</xdr:row>
      <xdr:rowOff>142875</xdr:rowOff>
    </xdr:to>
    <xdr:graphicFrame macro="">
      <xdr:nvGraphicFramePr>
        <xdr:cNvPr id="29252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18</xdr:row>
      <xdr:rowOff>28575</xdr:rowOff>
    </xdr:from>
    <xdr:to>
      <xdr:col>13</xdr:col>
      <xdr:colOff>152400</xdr:colOff>
      <xdr:row>32</xdr:row>
      <xdr:rowOff>152400</xdr:rowOff>
    </xdr:to>
    <xdr:graphicFrame macro="">
      <xdr:nvGraphicFramePr>
        <xdr:cNvPr id="29252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142875</xdr:colOff>
      <xdr:row>18</xdr:row>
      <xdr:rowOff>28575</xdr:rowOff>
    </xdr:from>
    <xdr:to>
      <xdr:col>22</xdr:col>
      <xdr:colOff>1133475</xdr:colOff>
      <xdr:row>32</xdr:row>
      <xdr:rowOff>171450</xdr:rowOff>
    </xdr:to>
    <xdr:graphicFrame macro="">
      <xdr:nvGraphicFramePr>
        <xdr:cNvPr id="29252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79"/>
  <sheetViews>
    <sheetView zoomScaleNormal="100" workbookViewId="0">
      <selection activeCell="I36" sqref="I36"/>
    </sheetView>
  </sheetViews>
  <sheetFormatPr defaultRowHeight="15" customHeight="1"/>
  <cols>
    <col min="1" max="1" width="38.375" style="32" customWidth="1"/>
    <col min="2" max="6" width="16.25" style="15" customWidth="1"/>
    <col min="7" max="7" width="11" style="15" customWidth="1"/>
    <col min="8" max="8" width="10.125" style="15" customWidth="1"/>
    <col min="9" max="16384" width="9" style="15"/>
  </cols>
  <sheetData>
    <row r="1" spans="1:8" ht="15" customHeight="1">
      <c r="A1" s="143" t="s">
        <v>47</v>
      </c>
      <c r="B1" s="143"/>
      <c r="C1" s="143"/>
      <c r="D1" s="143"/>
      <c r="E1" s="143"/>
      <c r="F1" s="143"/>
      <c r="G1" s="143"/>
      <c r="H1" s="143"/>
    </row>
    <row r="2" spans="1:8" ht="15" customHeight="1">
      <c r="A2" s="36"/>
      <c r="G2" s="16" t="s">
        <v>83</v>
      </c>
      <c r="H2" s="17"/>
    </row>
    <row r="3" spans="1:8" s="18" customFormat="1" ht="17.25" customHeight="1">
      <c r="A3" s="37"/>
      <c r="B3" s="18">
        <f>'F-65 Cross-walk'!D1</f>
        <v>2011</v>
      </c>
      <c r="C3" s="18">
        <f>'F-65 Cross-walk'!E1</f>
        <v>2012</v>
      </c>
      <c r="D3" s="18">
        <f>'F-65 Cross-walk'!F1</f>
        <v>2013</v>
      </c>
      <c r="E3" s="18">
        <f>'F-65 Cross-walk'!G1</f>
        <v>2014</v>
      </c>
      <c r="F3" s="18">
        <f>'F-65 Cross-walk'!H1</f>
        <v>2015</v>
      </c>
      <c r="G3" s="18">
        <f>H3-1</f>
        <v>2014</v>
      </c>
      <c r="H3" s="18">
        <f>IF(F68&gt;0,F3,IF(E68&gt;0,E3,IF(D68&gt;0,D3,C3)))</f>
        <v>2015</v>
      </c>
    </row>
    <row r="4" spans="1:8" ht="30">
      <c r="A4" s="34" t="s">
        <v>109</v>
      </c>
      <c r="C4" s="20"/>
      <c r="F4" s="19"/>
    </row>
    <row r="5" spans="1:8" ht="15" customHeight="1">
      <c r="A5" s="38" t="s">
        <v>22</v>
      </c>
      <c r="B5" s="33"/>
      <c r="C5" s="33"/>
      <c r="D5" s="33"/>
      <c r="E5" s="33"/>
      <c r="F5" s="33"/>
      <c r="G5" s="33"/>
      <c r="H5" s="33"/>
    </row>
    <row r="6" spans="1:8" ht="15" customHeight="1">
      <c r="A6" s="50" t="s">
        <v>138</v>
      </c>
      <c r="B6" s="62">
        <f>SUMIF('F-65 Cross-walk'!C4:C76,'Data Input'!A6,'F-65 Cross-walk'!D4:D76)</f>
        <v>9024352</v>
      </c>
      <c r="C6" s="62">
        <f>SUMIF('F-65 Cross-walk'!C4:C76,'Data Input'!A6,'F-65 Cross-walk'!E4:E76)</f>
        <v>9187499</v>
      </c>
      <c r="D6" s="62">
        <f>SUMIF('F-65 Cross-walk'!C4:C76,'Data Input'!A6,'F-65 Cross-walk'!F4:F76)</f>
        <v>8784943</v>
      </c>
      <c r="E6" s="62">
        <f>SUMIF('F-65 Cross-walk'!C4:C76,'Data Input'!A6,'F-65 Cross-walk'!G4:G76)</f>
        <v>8954940</v>
      </c>
      <c r="F6" s="62">
        <f>SUMIF('F-65 Cross-walk'!C4:C76,'Data Input'!A6,'F-65 Cross-walk'!H4:H76)</f>
        <v>9228224</v>
      </c>
      <c r="G6" s="138">
        <f>+E6/E$68</f>
        <v>816.68399452804374</v>
      </c>
      <c r="H6" s="141">
        <f>+F6/F$68</f>
        <v>841.60729594163251</v>
      </c>
    </row>
    <row r="7" spans="1:8" ht="15" customHeight="1">
      <c r="A7" s="52" t="s">
        <v>40</v>
      </c>
      <c r="B7" s="53">
        <f>SUMIF('F-65 Cross-walk'!C4:C76,'Data Input'!A7,'F-65 Cross-walk'!D4:D76)</f>
        <v>405880</v>
      </c>
      <c r="C7" s="53">
        <f>SUMIF('F-65 Cross-walk'!C4:C76,'Data Input'!A7,'F-65 Cross-walk'!E4:E76)</f>
        <v>492055</v>
      </c>
      <c r="D7" s="53">
        <f>SUMIF('F-65 Cross-walk'!C4:C76,'Data Input'!A7,'F-65 Cross-walk'!F4:F76)</f>
        <v>479484</v>
      </c>
      <c r="E7" s="53">
        <f>SUMIF('F-65 Cross-walk'!C4:C76,'Data Input'!A7,'F-65 Cross-walk'!G4:G76)</f>
        <v>577518</v>
      </c>
      <c r="F7" s="53">
        <f>SUMIF('F-65 Cross-walk'!C4:C76,'Data Input'!A7,'F-65 Cross-walk'!H4:H76)</f>
        <v>529776</v>
      </c>
      <c r="G7" s="138">
        <f t="shared" ref="G7:G17" si="0">+E7/E$68</f>
        <v>52.669220246238027</v>
      </c>
      <c r="H7" s="141">
        <f t="shared" ref="H7:H17" si="1">+F7/F$68</f>
        <v>48.31518467852257</v>
      </c>
    </row>
    <row r="8" spans="1:8" ht="15" customHeight="1">
      <c r="A8" s="52" t="s">
        <v>91</v>
      </c>
      <c r="B8" s="53">
        <f>SUMIF('F-65 Cross-walk'!C4:C76,'Data Input'!A8,'F-65 Cross-walk'!D4:D76)</f>
        <v>507587</v>
      </c>
      <c r="C8" s="53">
        <f>SUMIF('F-65 Cross-walk'!C4:C76,'Data Input'!A8,'F-65 Cross-walk'!E4:E76)</f>
        <v>383782</v>
      </c>
      <c r="D8" s="53">
        <f>SUMIF('F-65 Cross-walk'!C4:C76,'Data Input'!A8,'F-65 Cross-walk'!F4:F76)</f>
        <v>1009386</v>
      </c>
      <c r="E8" s="53">
        <f>SUMIF('F-65 Cross-walk'!C4:C76,'Data Input'!A8,'F-65 Cross-walk'!G4:G76)</f>
        <v>1753581</v>
      </c>
      <c r="F8" s="53">
        <f>SUMIF('F-65 Cross-walk'!C4:C76,'Data Input'!A8,'F-65 Cross-walk'!H4:H76)</f>
        <v>206563</v>
      </c>
      <c r="G8" s="138">
        <f t="shared" si="0"/>
        <v>159.92530779753761</v>
      </c>
      <c r="H8" s="141">
        <f t="shared" si="1"/>
        <v>18.838394892840856</v>
      </c>
    </row>
    <row r="9" spans="1:8" ht="15" customHeight="1">
      <c r="A9" s="52" t="s">
        <v>6</v>
      </c>
      <c r="B9" s="53">
        <f>SUMIF('F-65 Cross-walk'!C4:C76,'Data Input'!A9,'F-65 Cross-walk'!D4:D76)</f>
        <v>1936767</v>
      </c>
      <c r="C9" s="53">
        <f>SUMIF('F-65 Cross-walk'!C4:C76,'Data Input'!A9,'F-65 Cross-walk'!E4:E76)</f>
        <v>2078077</v>
      </c>
      <c r="D9" s="53">
        <f>SUMIF('F-65 Cross-walk'!C4:C76,'Data Input'!A9,'F-65 Cross-walk'!F4:F76)</f>
        <v>1998718</v>
      </c>
      <c r="E9" s="53">
        <f>SUMIF('F-65 Cross-walk'!C4:C76,'Data Input'!A9,'F-65 Cross-walk'!G4:G76)</f>
        <v>1937293</v>
      </c>
      <c r="F9" s="53">
        <f>SUMIF('F-65 Cross-walk'!C4:C76,'Data Input'!A9,'F-65 Cross-walk'!H4:H76)</f>
        <v>1933101</v>
      </c>
      <c r="G9" s="138">
        <f t="shared" si="0"/>
        <v>176.67970816233469</v>
      </c>
      <c r="H9" s="141">
        <f t="shared" si="1"/>
        <v>176.29740082079343</v>
      </c>
    </row>
    <row r="10" spans="1:8" ht="15" customHeight="1">
      <c r="A10" s="52" t="s">
        <v>73</v>
      </c>
      <c r="B10" s="53">
        <f>SUMIF('F-65 Cross-walk'!C4:C76,'Data Input'!A10,'F-65 Cross-walk'!D4:D76)</f>
        <v>1013681</v>
      </c>
      <c r="C10" s="53">
        <f>SUMIF('F-65 Cross-walk'!C4:C76,'Data Input'!A10,'F-65 Cross-walk'!E4:E76)</f>
        <v>1919932</v>
      </c>
      <c r="D10" s="53">
        <f>SUMIF('F-65 Cross-walk'!C4:C76,'Data Input'!A10,'F-65 Cross-walk'!F4:F76)</f>
        <v>827137</v>
      </c>
      <c r="E10" s="53">
        <f>SUMIF('F-65 Cross-walk'!C4:C76,'Data Input'!A10,'F-65 Cross-walk'!G4:G76)</f>
        <v>1039978</v>
      </c>
      <c r="F10" s="53">
        <f>SUMIF('F-65 Cross-walk'!C4:C76,'Data Input'!A10,'F-65 Cross-walk'!H4:H76)</f>
        <v>964510</v>
      </c>
      <c r="G10" s="138">
        <f t="shared" si="0"/>
        <v>94.8452348381213</v>
      </c>
      <c r="H10" s="141">
        <f t="shared" si="1"/>
        <v>87.962608299133606</v>
      </c>
    </row>
    <row r="11" spans="1:8" ht="15" customHeight="1">
      <c r="A11" s="52" t="s">
        <v>160</v>
      </c>
      <c r="B11" s="53">
        <f>SUMIF('F-65 Cross-walk'!C4:C76,'Data Input'!A11,'F-65 Cross-walk'!D4:D76)</f>
        <v>276944</v>
      </c>
      <c r="C11" s="53">
        <f>SUMIF('F-65 Cross-walk'!C4:C76,'Data Input'!A11,'F-65 Cross-walk'!E4:E76)</f>
        <v>391901</v>
      </c>
      <c r="D11" s="53">
        <f>SUMIF('F-65 Cross-walk'!C4:C76,'Data Input'!A11,'F-65 Cross-walk'!F4:F76)</f>
        <v>625017</v>
      </c>
      <c r="E11" s="53">
        <f>SUMIF('F-65 Cross-walk'!C4:C76,'Data Input'!A11,'F-65 Cross-walk'!G4:G76)</f>
        <v>669908</v>
      </c>
      <c r="F11" s="53">
        <f>SUMIF('F-65 Cross-walk'!C4:C76,'Data Input'!A11,'F-65 Cross-walk'!H4:H76)</f>
        <v>601906</v>
      </c>
      <c r="G11" s="138">
        <f t="shared" si="0"/>
        <v>61.095120839033285</v>
      </c>
      <c r="H11" s="141">
        <f t="shared" si="1"/>
        <v>54.893388052895574</v>
      </c>
    </row>
    <row r="12" spans="1:8" ht="15" customHeight="1">
      <c r="A12" s="52" t="s">
        <v>0</v>
      </c>
      <c r="B12" s="53">
        <f>SUMIF('F-65 Cross-walk'!C4:C76,'Data Input'!A12,'F-65 Cross-walk'!D4:D76)</f>
        <v>153754</v>
      </c>
      <c r="C12" s="53">
        <f>SUMIF('F-65 Cross-walk'!C4:C76,'Data Input'!A12,'F-65 Cross-walk'!E4:E76)</f>
        <v>100085</v>
      </c>
      <c r="D12" s="53">
        <f>SUMIF('F-65 Cross-walk'!C4:C76,'Data Input'!A12,'F-65 Cross-walk'!F4:F76)</f>
        <v>96736</v>
      </c>
      <c r="E12" s="53">
        <f>SUMIF('F-65 Cross-walk'!C4:C76,'Data Input'!A12,'F-65 Cross-walk'!G4:G76)</f>
        <v>127788</v>
      </c>
      <c r="F12" s="53">
        <f>SUMIF('F-65 Cross-walk'!C4:C76,'Data Input'!A12,'F-65 Cross-walk'!H4:H76)</f>
        <v>97268</v>
      </c>
      <c r="G12" s="138">
        <f t="shared" si="0"/>
        <v>11.654172366621067</v>
      </c>
      <c r="H12" s="141">
        <f t="shared" si="1"/>
        <v>8.8707706338349297</v>
      </c>
    </row>
    <row r="13" spans="1:8" ht="15" customHeight="1">
      <c r="A13" s="52" t="s">
        <v>118</v>
      </c>
      <c r="B13" s="53">
        <f>SUMIF('F-65 Cross-walk'!C4:C76,'Data Input'!A13,'F-65 Cross-walk'!D4:D76)</f>
        <v>110618</v>
      </c>
      <c r="C13" s="53">
        <f>SUMIF('F-65 Cross-walk'!C4:C76,'Data Input'!A13,'F-65 Cross-walk'!E4:E76)</f>
        <v>114038</v>
      </c>
      <c r="D13" s="53">
        <f>SUMIF('F-65 Cross-walk'!C4:C76,'Data Input'!A13,'F-65 Cross-walk'!F4:F76)</f>
        <v>212953</v>
      </c>
      <c r="E13" s="53">
        <f>SUMIF('F-65 Cross-walk'!C4:C76,'Data Input'!A13,'F-65 Cross-walk'!G4:G76)</f>
        <v>264356</v>
      </c>
      <c r="F13" s="53">
        <f>SUMIF('F-65 Cross-walk'!C4:C76,'Data Input'!A13,'F-65 Cross-walk'!H4:H76)</f>
        <v>396668</v>
      </c>
      <c r="G13" s="138">
        <f t="shared" si="0"/>
        <v>24.109074327405381</v>
      </c>
      <c r="H13" s="141">
        <f t="shared" si="1"/>
        <v>36.175832193342451</v>
      </c>
    </row>
    <row r="14" spans="1:8" ht="15" customHeight="1">
      <c r="A14" s="57" t="s">
        <v>211</v>
      </c>
      <c r="B14" s="56">
        <f>+'F-65 Cross-walk'!D73</f>
        <v>0</v>
      </c>
      <c r="C14" s="56">
        <f>+'F-65 Cross-walk'!E73</f>
        <v>0</v>
      </c>
      <c r="D14" s="56">
        <f>+'F-65 Cross-walk'!F73</f>
        <v>0</v>
      </c>
      <c r="E14" s="56">
        <f>+'F-65 Cross-walk'!G73</f>
        <v>0</v>
      </c>
      <c r="F14" s="56">
        <f>+'F-65 Cross-walk'!H73</f>
        <v>12261195</v>
      </c>
      <c r="G14" s="138">
        <f t="shared" si="0"/>
        <v>0</v>
      </c>
      <c r="H14" s="141">
        <f t="shared" si="1"/>
        <v>1118.2120383036936</v>
      </c>
    </row>
    <row r="15" spans="1:8" ht="15" customHeight="1">
      <c r="A15" s="57" t="s">
        <v>214</v>
      </c>
      <c r="B15" s="56">
        <f>+'F-65 Cross-walk'!D75</f>
        <v>4846428</v>
      </c>
      <c r="C15" s="56">
        <f>+'F-65 Cross-walk'!E75</f>
        <v>6897178</v>
      </c>
      <c r="D15" s="56">
        <f>+'F-65 Cross-walk'!F75</f>
        <v>5222375</v>
      </c>
      <c r="E15" s="56">
        <f>+'F-65 Cross-walk'!G75</f>
        <v>5999231</v>
      </c>
      <c r="F15" s="56">
        <f>+'F-65 Cross-walk'!H75</f>
        <v>6343543</v>
      </c>
      <c r="G15" s="138">
        <f t="shared" si="0"/>
        <v>547.12549019607843</v>
      </c>
      <c r="H15" s="141">
        <f t="shared" si="1"/>
        <v>578.52649338805293</v>
      </c>
    </row>
    <row r="16" spans="1:8" ht="15" customHeight="1">
      <c r="A16" s="55" t="s">
        <v>1</v>
      </c>
      <c r="B16" s="56">
        <f>SUM('F-65 Cross-walk'!D68:D72)</f>
        <v>455134</v>
      </c>
      <c r="C16" s="56">
        <f>SUM('F-65 Cross-walk'!E68:E72)</f>
        <v>670322</v>
      </c>
      <c r="D16" s="56">
        <f>SUM('F-65 Cross-walk'!F68:F72)</f>
        <v>268185</v>
      </c>
      <c r="E16" s="56">
        <f>SUM('F-65 Cross-walk'!G68:G72)</f>
        <v>353186</v>
      </c>
      <c r="F16" s="56">
        <f>SUM('F-65 Cross-walk'!H68:H72)</f>
        <v>217737</v>
      </c>
      <c r="G16" s="138">
        <f t="shared" si="0"/>
        <v>32.210305517555859</v>
      </c>
      <c r="H16" s="141">
        <f t="shared" si="1"/>
        <v>19.857455540355677</v>
      </c>
    </row>
    <row r="17" spans="1:8" ht="15" customHeight="1">
      <c r="A17" s="40" t="s">
        <v>112</v>
      </c>
      <c r="B17" s="131">
        <f>SUM(B6:B16)</f>
        <v>18731145</v>
      </c>
      <c r="C17" s="131">
        <f>SUM(C6:C16)</f>
        <v>22234869</v>
      </c>
      <c r="D17" s="131">
        <f>SUM(D6:D16)</f>
        <v>19524934</v>
      </c>
      <c r="E17" s="131">
        <f>SUM(E6:E16)</f>
        <v>21677779</v>
      </c>
      <c r="F17" s="131">
        <f>SUM(F6:F16)</f>
        <v>32780491</v>
      </c>
      <c r="G17" s="138">
        <f t="shared" si="0"/>
        <v>1976.9976288189694</v>
      </c>
      <c r="H17" s="141">
        <f t="shared" si="1"/>
        <v>2989.556862745098</v>
      </c>
    </row>
    <row r="18" spans="1:8" ht="15" customHeight="1">
      <c r="A18" s="38" t="s">
        <v>199</v>
      </c>
      <c r="B18" s="128"/>
      <c r="C18" s="128"/>
      <c r="D18" s="128"/>
      <c r="E18" s="128"/>
      <c r="F18" s="128"/>
      <c r="G18" s="139"/>
      <c r="H18" s="139"/>
    </row>
    <row r="19" spans="1:8" ht="15" customHeight="1">
      <c r="A19" s="50" t="s">
        <v>59</v>
      </c>
      <c r="B19" s="51">
        <f>SUMIF('F-65 Cross-walk'!C78:C126,'Data Input'!A19,'F-65 Cross-walk'!D78:D126)</f>
        <v>2628804</v>
      </c>
      <c r="C19" s="51">
        <f>SUMIF('F-65 Cross-walk'!C78:C126,'Data Input'!A19,'F-65 Cross-walk'!E78:E126)</f>
        <v>2265969</v>
      </c>
      <c r="D19" s="51">
        <f>SUMIF('F-65 Cross-walk'!C78:C126,'Data Input'!A19,'F-65 Cross-walk'!F78:F126)</f>
        <v>2588230</v>
      </c>
      <c r="E19" s="51">
        <f>SUMIF('F-65 Cross-walk'!C78:C126,'Data Input'!A19,'F-65 Cross-walk'!G78:G126)</f>
        <v>1953847</v>
      </c>
      <c r="F19" s="51">
        <f>SUMIF('F-65 Cross-walk'!C78:C126,'Data Input'!A19,'F-65 Cross-walk'!H78:H126)</f>
        <v>2032262</v>
      </c>
      <c r="G19" s="138">
        <f t="shared" ref="G19:G31" si="2">+E19/E$68</f>
        <v>178.18942088463291</v>
      </c>
      <c r="H19" s="141">
        <f t="shared" ref="H19:H31" si="3">+F19/F$68</f>
        <v>185.34081167350661</v>
      </c>
    </row>
    <row r="20" spans="1:8" ht="15" customHeight="1">
      <c r="A20" s="52" t="s">
        <v>62</v>
      </c>
      <c r="B20" s="53">
        <f>SUMIF('F-65 Cross-walk'!C78:C126,'Data Input'!A20,'F-65 Cross-walk'!D78:D126)</f>
        <v>3471435</v>
      </c>
      <c r="C20" s="53">
        <f>SUMIF('F-65 Cross-walk'!C78:C126,'Data Input'!A20,'F-65 Cross-walk'!E78:E126)</f>
        <v>3307385</v>
      </c>
      <c r="D20" s="53">
        <f>SUMIF('F-65 Cross-walk'!C78:C126,'Data Input'!A20,'F-65 Cross-walk'!F78:F126)</f>
        <v>3530041</v>
      </c>
      <c r="E20" s="53">
        <f>SUMIF('F-65 Cross-walk'!C78:C126,'Data Input'!A20,'F-65 Cross-walk'!G78:G126)</f>
        <v>3826937</v>
      </c>
      <c r="F20" s="53">
        <f>SUMIF('F-65 Cross-walk'!C78:C126,'Data Input'!A20,'F-65 Cross-walk'!H78:H126)</f>
        <v>3813953</v>
      </c>
      <c r="G20" s="138">
        <f t="shared" si="2"/>
        <v>349.01386228910167</v>
      </c>
      <c r="H20" s="141">
        <f t="shared" si="3"/>
        <v>347.82973096215233</v>
      </c>
    </row>
    <row r="21" spans="1:8" ht="15" customHeight="1">
      <c r="A21" s="52" t="s">
        <v>124</v>
      </c>
      <c r="B21" s="53">
        <f>SUMIF('F-65 Cross-walk'!C78:C126,'Data Input'!A21,'F-65 Cross-walk'!D78:D126)</f>
        <v>0</v>
      </c>
      <c r="C21" s="53">
        <f>SUMIF('F-65 Cross-walk'!C78:C126,'Data Input'!A21,'F-65 Cross-walk'!E78:E126)</f>
        <v>301061</v>
      </c>
      <c r="D21" s="53">
        <f>SUMIF('F-65 Cross-walk'!C78:C126,'Data Input'!A21,'F-65 Cross-walk'!F78:F126)</f>
        <v>300436</v>
      </c>
      <c r="E21" s="53">
        <f>SUMIF('F-65 Cross-walk'!C78:C126,'Data Input'!A21,'F-65 Cross-walk'!G78:G126)</f>
        <v>290425</v>
      </c>
      <c r="F21" s="53">
        <f>SUMIF('F-65 Cross-walk'!C78:C126,'Data Input'!A21,'F-65 Cross-walk'!H78:H126)</f>
        <v>274970</v>
      </c>
      <c r="G21" s="138">
        <f t="shared" si="2"/>
        <v>26.486548107615139</v>
      </c>
      <c r="H21" s="141">
        <f t="shared" si="3"/>
        <v>25.077063383492931</v>
      </c>
    </row>
    <row r="22" spans="1:8" ht="15" customHeight="1">
      <c r="A22" s="52" t="s">
        <v>174</v>
      </c>
      <c r="B22" s="53">
        <f>SUMIF('F-65 Cross-walk'!C78:C126,'Data Input'!A22,'F-65 Cross-walk'!D78:D126)</f>
        <v>1407711</v>
      </c>
      <c r="C22" s="53">
        <f>SUMIF('F-65 Cross-walk'!C78:C126,'Data Input'!A22,'F-65 Cross-walk'!E78:E126)</f>
        <v>2153978</v>
      </c>
      <c r="D22" s="53">
        <f>SUMIF('F-65 Cross-walk'!C78:C126,'Data Input'!A22,'F-65 Cross-walk'!F78:F126)</f>
        <v>1208431</v>
      </c>
      <c r="E22" s="53">
        <f>SUMIF('F-65 Cross-walk'!C78:C126,'Data Input'!A22,'F-65 Cross-walk'!G78:G126)</f>
        <v>1488507</v>
      </c>
      <c r="F22" s="53">
        <f>SUMIF('F-65 Cross-walk'!C78:C126,'Data Input'!A22,'F-65 Cross-walk'!H78:H126)</f>
        <v>1346165</v>
      </c>
      <c r="G22" s="138">
        <f t="shared" si="2"/>
        <v>135.75075239398086</v>
      </c>
      <c r="H22" s="141">
        <f t="shared" si="3"/>
        <v>122.76926584587324</v>
      </c>
    </row>
    <row r="23" spans="1:8" ht="15" customHeight="1">
      <c r="A23" s="52" t="s">
        <v>45</v>
      </c>
      <c r="B23" s="53">
        <f>SUMIF('F-65 Cross-walk'!C78:C126,'Data Input'!A23,'F-65 Cross-walk'!D78:D126)</f>
        <v>3088332</v>
      </c>
      <c r="C23" s="53">
        <f>SUMIF('F-65 Cross-walk'!C78:C126,'Data Input'!A23,'F-65 Cross-walk'!E78:E126)</f>
        <v>2422195</v>
      </c>
      <c r="D23" s="53">
        <f>SUMIF('F-65 Cross-walk'!C78:C126,'Data Input'!A23,'F-65 Cross-walk'!F78:F126)</f>
        <v>1806219</v>
      </c>
      <c r="E23" s="53">
        <f>SUMIF('F-65 Cross-walk'!C78:C126,'Data Input'!A23,'F-65 Cross-walk'!G78:G126)</f>
        <v>1769434</v>
      </c>
      <c r="F23" s="53">
        <f>SUMIF('F-65 Cross-walk'!C78:C126,'Data Input'!A23,'F-65 Cross-walk'!H78:H126)</f>
        <v>1870503</v>
      </c>
      <c r="G23" s="138">
        <f t="shared" si="2"/>
        <v>161.37108983128135</v>
      </c>
      <c r="H23" s="141">
        <f t="shared" si="3"/>
        <v>170.58850889192885</v>
      </c>
    </row>
    <row r="24" spans="1:8" ht="15" customHeight="1">
      <c r="A24" s="52" t="s">
        <v>9</v>
      </c>
      <c r="B24" s="53">
        <f>SUMIF('F-65 Cross-walk'!C78:C126,'Data Input'!A24,'F-65 Cross-walk'!D78:D126)</f>
        <v>0</v>
      </c>
      <c r="C24" s="53">
        <f>SUMIF('F-65 Cross-walk'!C78:C126,'Data Input'!A24,'F-65 Cross-walk'!E78:E126)</f>
        <v>0</v>
      </c>
      <c r="D24" s="53">
        <f>SUMIF('F-65 Cross-walk'!C78:C126,'Data Input'!A24,'F-65 Cross-walk'!F78:F126)</f>
        <v>0</v>
      </c>
      <c r="E24" s="53">
        <f>SUMIF('F-65 Cross-walk'!C78:C126,'Data Input'!A24,'F-65 Cross-walk'!G78:G126)</f>
        <v>0</v>
      </c>
      <c r="F24" s="53">
        <f>SUMIF('F-65 Cross-walk'!C78:C126,'Data Input'!A24,'F-65 Cross-walk'!H78:H126)</f>
        <v>0</v>
      </c>
      <c r="G24" s="138">
        <f t="shared" si="2"/>
        <v>0</v>
      </c>
      <c r="H24" s="141">
        <f t="shared" si="3"/>
        <v>0</v>
      </c>
    </row>
    <row r="25" spans="1:8" ht="15" customHeight="1">
      <c r="A25" s="52" t="s">
        <v>205</v>
      </c>
      <c r="B25" s="53">
        <f>SUMIF('F-65 Cross-walk'!C78:C126,'Data Input'!A25,'F-65 Cross-walk'!D78:D126)</f>
        <v>102409</v>
      </c>
      <c r="C25" s="53">
        <f>SUMIF('F-65 Cross-walk'!C78:C126,'Data Input'!A25,'F-65 Cross-walk'!E78:E126)</f>
        <v>102410</v>
      </c>
      <c r="D25" s="53">
        <f>SUMIF('F-65 Cross-walk'!C78:C126,'Data Input'!A25,'F-65 Cross-walk'!F78:F126)</f>
        <v>696764</v>
      </c>
      <c r="E25" s="53">
        <f>SUMIF('F-65 Cross-walk'!C78:C126,'Data Input'!A25,'F-65 Cross-walk'!G78:G126)</f>
        <v>432037</v>
      </c>
      <c r="F25" s="53">
        <f>SUMIF('F-65 Cross-walk'!C78:C126,'Data Input'!A25,'F-65 Cross-walk'!H78:H126)</f>
        <v>344778</v>
      </c>
      <c r="G25" s="138">
        <f t="shared" si="2"/>
        <v>39.401459188326491</v>
      </c>
      <c r="H25" s="141">
        <f t="shared" si="3"/>
        <v>31.443502051983582</v>
      </c>
    </row>
    <row r="26" spans="1:8" ht="15" customHeight="1">
      <c r="A26" s="52" t="s">
        <v>164</v>
      </c>
      <c r="B26" s="53">
        <f>SUMIF('F-65 Cross-walk'!C78:C126,'Data Input'!A26,'F-65 Cross-walk'!D78:D126)</f>
        <v>539696</v>
      </c>
      <c r="C26" s="53">
        <f>SUMIF('F-65 Cross-walk'!C78:C126,'Data Input'!A26,'F-65 Cross-walk'!E78:E126)</f>
        <v>520795</v>
      </c>
      <c r="D26" s="53">
        <f>SUMIF('F-65 Cross-walk'!C78:C126,'Data Input'!A26,'F-65 Cross-walk'!F78:F126)</f>
        <v>1211758</v>
      </c>
      <c r="E26" s="53">
        <f>SUMIF('F-65 Cross-walk'!C78:C126,'Data Input'!A26,'F-65 Cross-walk'!G78:G126)</f>
        <v>1249493</v>
      </c>
      <c r="F26" s="53">
        <f>SUMIF('F-65 Cross-walk'!C78:C126,'Data Input'!A26,'F-65 Cross-walk'!H78:H126)</f>
        <v>1196643</v>
      </c>
      <c r="G26" s="138">
        <f t="shared" si="2"/>
        <v>113.95284997720019</v>
      </c>
      <c r="H26" s="141">
        <f t="shared" si="3"/>
        <v>109.13296853625171</v>
      </c>
    </row>
    <row r="27" spans="1:8" ht="15" customHeight="1">
      <c r="A27" s="52" t="s">
        <v>110</v>
      </c>
      <c r="B27" s="53">
        <f>SUMIF('F-65 Cross-walk'!C78:C126,'Data Input'!A27,'F-65 Cross-walk'!D78:D126)</f>
        <v>1813681</v>
      </c>
      <c r="C27" s="53">
        <f>SUMIF('F-65 Cross-walk'!C78:C126,'Data Input'!A27,'F-65 Cross-walk'!E78:E126)</f>
        <v>2057985</v>
      </c>
      <c r="D27" s="53">
        <f>SUMIF('F-65 Cross-walk'!C78:C126,'Data Input'!A27,'F-65 Cross-walk'!F78:F126)</f>
        <v>2317937</v>
      </c>
      <c r="E27" s="53">
        <f>SUMIF('F-65 Cross-walk'!C78:C126,'Data Input'!A27,'F-65 Cross-walk'!G78:G126)</f>
        <v>5320577</v>
      </c>
      <c r="F27" s="53">
        <f>SUMIF('F-65 Cross-walk'!C78:C126,'Data Input'!A27,'F-65 Cross-walk'!H78:H126)</f>
        <v>2074802</v>
      </c>
      <c r="G27" s="138">
        <f t="shared" si="2"/>
        <v>485.23274053807569</v>
      </c>
      <c r="H27" s="141">
        <f t="shared" si="3"/>
        <v>189.22042863657092</v>
      </c>
    </row>
    <row r="28" spans="1:8" ht="15" customHeight="1">
      <c r="A28" s="52" t="s">
        <v>166</v>
      </c>
      <c r="B28" s="53">
        <f>SUMIF('F-65 Cross-walk'!C78:C126,'Data Input'!A28,'F-65 Cross-walk'!D78:D126)</f>
        <v>994095</v>
      </c>
      <c r="C28" s="53">
        <f>SUMIF('F-65 Cross-walk'!C78:C126,'Data Input'!A28,'F-65 Cross-walk'!E78:E126)</f>
        <v>1002917</v>
      </c>
      <c r="D28" s="53">
        <f>SUMIF('F-65 Cross-walk'!C78:C126,'Data Input'!A28,'F-65 Cross-walk'!F78:F126)</f>
        <v>1648739</v>
      </c>
      <c r="E28" s="53">
        <f>SUMIF('F-65 Cross-walk'!C78:C126,'Data Input'!A28,'F-65 Cross-walk'!G78:G126)</f>
        <v>1888493</v>
      </c>
      <c r="F28" s="53">
        <f>SUMIF('F-65 Cross-walk'!C78:C126,'Data Input'!A28,'F-65 Cross-walk'!H78:H126)</f>
        <v>2085461</v>
      </c>
      <c r="G28" s="138">
        <f t="shared" si="2"/>
        <v>172.22918376652987</v>
      </c>
      <c r="H28" s="141">
        <f t="shared" si="3"/>
        <v>190.19252165982672</v>
      </c>
    </row>
    <row r="29" spans="1:8" ht="15" customHeight="1">
      <c r="A29" s="57" t="str">
        <f>+'F-65 Cross-walk'!C125</f>
        <v>Interfund Transfers Out</v>
      </c>
      <c r="B29" s="56">
        <f>+'F-65 Cross-walk'!D125</f>
        <v>3402002</v>
      </c>
      <c r="C29" s="56">
        <f>+'F-65 Cross-walk'!E125</f>
        <v>8402844</v>
      </c>
      <c r="D29" s="56">
        <f>+'F-65 Cross-walk'!F125</f>
        <v>4039141</v>
      </c>
      <c r="E29" s="56">
        <f>+'F-65 Cross-walk'!G125</f>
        <v>4716331</v>
      </c>
      <c r="F29" s="56">
        <f>+'F-65 Cross-walk'!H125</f>
        <v>7633428</v>
      </c>
      <c r="G29" s="138">
        <f t="shared" si="2"/>
        <v>430.12594619243043</v>
      </c>
      <c r="H29" s="141">
        <f t="shared" si="3"/>
        <v>696.16306429548558</v>
      </c>
    </row>
    <row r="30" spans="1:8" ht="15" customHeight="1">
      <c r="A30" s="40" t="s">
        <v>168</v>
      </c>
      <c r="B30" s="42">
        <f>SUM(B19:B29)</f>
        <v>17448165</v>
      </c>
      <c r="C30" s="42">
        <f>SUM(C19:C29)</f>
        <v>22537539</v>
      </c>
      <c r="D30" s="42">
        <f>SUM(D19:D29)</f>
        <v>19347696</v>
      </c>
      <c r="E30" s="42">
        <f>SUM(E19:E29)</f>
        <v>22936081</v>
      </c>
      <c r="F30" s="42">
        <f>SUM(F19:F29)</f>
        <v>22672965</v>
      </c>
      <c r="G30" s="138">
        <f t="shared" si="2"/>
        <v>2091.7538531691748</v>
      </c>
      <c r="H30" s="141">
        <f t="shared" si="3"/>
        <v>2067.7578659370724</v>
      </c>
    </row>
    <row r="31" spans="1:8" ht="15.75" customHeight="1" thickBot="1">
      <c r="A31" s="41" t="s">
        <v>203</v>
      </c>
      <c r="B31" s="42">
        <f>+B17-B30</f>
        <v>1282980</v>
      </c>
      <c r="C31" s="42">
        <f>+C17-C30</f>
        <v>-302670</v>
      </c>
      <c r="D31" s="42">
        <f>+D17-D30</f>
        <v>177238</v>
      </c>
      <c r="E31" s="42">
        <f>+E17-E30</f>
        <v>-1258302</v>
      </c>
      <c r="F31" s="42">
        <f>+F17-F30</f>
        <v>10107526</v>
      </c>
      <c r="G31" s="138">
        <f t="shared" si="2"/>
        <v>-114.7562243502052</v>
      </c>
      <c r="H31" s="141">
        <f t="shared" si="3"/>
        <v>921.79899680802555</v>
      </c>
    </row>
    <row r="32" spans="1:8" ht="30.75" thickTop="1">
      <c r="A32" s="34" t="s">
        <v>41</v>
      </c>
      <c r="G32" s="139"/>
      <c r="H32" s="140"/>
    </row>
    <row r="33" spans="1:8" ht="15" customHeight="1">
      <c r="A33" s="50" t="s">
        <v>51</v>
      </c>
      <c r="B33" s="62">
        <f>SUMIF('F-65 Cross-walk'!C130:C134,'Data Input'!A33,'F-65 Cross-walk'!D130:D134)</f>
        <v>1720980</v>
      </c>
      <c r="C33" s="62">
        <f>SUMIF('F-65 Cross-walk'!C130:C134,'Data Input'!A33,'F-65 Cross-walk'!E130:E134)</f>
        <v>1747635</v>
      </c>
      <c r="D33" s="62">
        <f>SUMIF('F-65 Cross-walk'!C130:C134,'Data Input'!A33,'F-65 Cross-walk'!F130:F134)</f>
        <v>1769738</v>
      </c>
      <c r="E33" s="62">
        <f>SUMIF('F-65 Cross-walk'!C130:C134,'Data Input'!A33,'F-65 Cross-walk'!G130:G134)</f>
        <v>1802415</v>
      </c>
      <c r="F33" s="62">
        <f>SUMIF('F-65 Cross-walk'!C130:C134,'Data Input'!A33,'F-65 Cross-walk'!H130:H134)</f>
        <v>1813294</v>
      </c>
      <c r="G33" s="141">
        <f t="shared" ref="G33:G38" si="4">+E33/E$68</f>
        <v>164.37893296853625</v>
      </c>
      <c r="H33" s="141">
        <f t="shared" ref="H33:H38" si="5">+F33/F$68</f>
        <v>165.37108983128135</v>
      </c>
    </row>
    <row r="34" spans="1:8" ht="15" customHeight="1">
      <c r="A34" s="52" t="s">
        <v>126</v>
      </c>
      <c r="B34" s="53">
        <f>SUMIF('F-65 Cross-walk'!C130:C134,'Data Input'!A34,'F-65 Cross-walk'!D130:D134)</f>
        <v>7673058</v>
      </c>
      <c r="C34" s="53">
        <f>SUMIF('F-65 Cross-walk'!C130:C134,'Data Input'!A34,'F-65 Cross-walk'!E130:E134)</f>
        <v>6433381</v>
      </c>
      <c r="D34" s="53">
        <f>SUMIF('F-65 Cross-walk'!C130:C134,'Data Input'!A34,'F-65 Cross-walk'!F130:F134)</f>
        <v>5610884</v>
      </c>
      <c r="E34" s="53">
        <f>SUMIF('F-65 Cross-walk'!C130:C134,'Data Input'!A34,'F-65 Cross-walk'!G130:G134)</f>
        <v>2997948</v>
      </c>
      <c r="F34" s="53">
        <f>SUMIF('F-65 Cross-walk'!C130:C134,'Data Input'!A34,'F-65 Cross-walk'!H130:H134)</f>
        <v>13136342</v>
      </c>
      <c r="G34" s="141">
        <f t="shared" si="4"/>
        <v>273.41067031463746</v>
      </c>
      <c r="H34" s="141">
        <f t="shared" si="5"/>
        <v>1198.0248062015503</v>
      </c>
    </row>
    <row r="35" spans="1:8" ht="15" customHeight="1">
      <c r="A35" s="52" t="s">
        <v>23</v>
      </c>
      <c r="B35" s="53">
        <f>SUMIF('F-65 Cross-walk'!C130:C134,'Data Input'!A35,'F-65 Cross-walk'!D130:D134)</f>
        <v>2407427</v>
      </c>
      <c r="C35" s="53">
        <f>SUMIF('F-65 Cross-walk'!C130:C134,'Data Input'!A35,'F-65 Cross-walk'!E130:E134)</f>
        <v>2133864</v>
      </c>
      <c r="D35" s="53">
        <f>SUMIF('F-65 Cross-walk'!C130:C134,'Data Input'!A35,'F-65 Cross-walk'!F130:F134)</f>
        <v>3595207</v>
      </c>
      <c r="E35" s="53">
        <f>SUMIF('F-65 Cross-walk'!C130:C134,'Data Input'!A35,'F-65 Cross-walk'!G130:G134)</f>
        <v>5675094</v>
      </c>
      <c r="F35" s="53">
        <f>SUMIF('F-65 Cross-walk'!C130:C134,'Data Input'!A35,'F-65 Cross-walk'!H130:H134)</f>
        <v>6060579</v>
      </c>
      <c r="G35" s="141">
        <f t="shared" si="4"/>
        <v>517.56443228454168</v>
      </c>
      <c r="H35" s="141">
        <f t="shared" si="5"/>
        <v>552.72038303693569</v>
      </c>
    </row>
    <row r="36" spans="1:8" ht="15" customHeight="1">
      <c r="A36" s="52" t="s">
        <v>135</v>
      </c>
      <c r="B36" s="53">
        <f>SUMIF('F-65 Cross-walk'!C130:C134,'Data Input'!A36,'F-65 Cross-walk'!D130:D134)</f>
        <v>0</v>
      </c>
      <c r="C36" s="53">
        <f>SUMIF('F-65 Cross-walk'!C130:C134,'Data Input'!A36,'F-65 Cross-walk'!E130:E134)</f>
        <v>0</v>
      </c>
      <c r="D36" s="53">
        <f>SUMIF('F-65 Cross-walk'!C130:C134,'Data Input'!A36,'F-65 Cross-walk'!F130:F134)</f>
        <v>0</v>
      </c>
      <c r="E36" s="53">
        <f>SUMIF('F-65 Cross-walk'!C130:C134,'Data Input'!A36,'F-65 Cross-walk'!G130:G134)</f>
        <v>127903</v>
      </c>
      <c r="F36" s="53">
        <f>SUMIF('F-65 Cross-walk'!C130:C134,'Data Input'!A36,'F-65 Cross-walk'!H130:H134)</f>
        <v>0</v>
      </c>
      <c r="G36" s="141">
        <f t="shared" si="4"/>
        <v>11.664660282717739</v>
      </c>
      <c r="H36" s="141">
        <f t="shared" si="5"/>
        <v>0</v>
      </c>
    </row>
    <row r="37" spans="1:8" ht="15" customHeight="1">
      <c r="A37" s="57" t="s">
        <v>197</v>
      </c>
      <c r="B37" s="56">
        <f>SUMIF('F-65 Cross-walk'!C130:C134,'Data Input'!A37,'F-65 Cross-walk'!D130:D134)</f>
        <v>3515039</v>
      </c>
      <c r="C37" s="56">
        <f>SUMIF('F-65 Cross-walk'!C130:C134,'Data Input'!A37,'F-65 Cross-walk'!E130:E134)</f>
        <v>4298805</v>
      </c>
      <c r="D37" s="56">
        <f>SUMIF('F-65 Cross-walk'!C130:C134,'Data Input'!A37,'F-65 Cross-walk'!F130:F134)</f>
        <v>3815195</v>
      </c>
      <c r="E37" s="56">
        <f>SUMIF('F-65 Cross-walk'!C130:C134,'Data Input'!A37,'F-65 Cross-walk'!G130:G134)</f>
        <v>2929363</v>
      </c>
      <c r="F37" s="56">
        <f>SUMIF('F-65 Cross-walk'!C130:C134,'Data Input'!A37,'F-65 Cross-walk'!H130:H134)</f>
        <v>3130052</v>
      </c>
      <c r="G37" s="141">
        <f t="shared" si="4"/>
        <v>267.15576835385315</v>
      </c>
      <c r="H37" s="141">
        <f t="shared" si="5"/>
        <v>285.45845873233014</v>
      </c>
    </row>
    <row r="38" spans="1:8" ht="15.75" customHeight="1" thickBot="1">
      <c r="A38" s="43" t="s">
        <v>175</v>
      </c>
      <c r="B38" s="42">
        <f>SUM(B33:B37)</f>
        <v>15316504</v>
      </c>
      <c r="C38" s="42">
        <f>SUM(C33:C37)</f>
        <v>14613685</v>
      </c>
      <c r="D38" s="42">
        <f>SUM(D33:D37)</f>
        <v>14791024</v>
      </c>
      <c r="E38" s="42">
        <f>SUM(E33:E37)</f>
        <v>13532723</v>
      </c>
      <c r="F38" s="42">
        <f>SUM(F33:F37)</f>
        <v>24140267</v>
      </c>
      <c r="G38" s="141">
        <f t="shared" si="4"/>
        <v>1234.1744642042863</v>
      </c>
      <c r="H38" s="141">
        <f t="shared" si="5"/>
        <v>2201.5747378020974</v>
      </c>
    </row>
    <row r="39" spans="1:8" ht="30.75" thickTop="1">
      <c r="A39" s="34" t="s">
        <v>46</v>
      </c>
      <c r="B39" s="21"/>
      <c r="C39" s="21"/>
      <c r="D39" s="21"/>
      <c r="E39" s="21"/>
      <c r="F39" s="21"/>
      <c r="G39" s="22"/>
      <c r="H39" s="22"/>
    </row>
    <row r="40" spans="1:8" ht="17.25" customHeight="1">
      <c r="A40" s="38" t="s">
        <v>99</v>
      </c>
    </row>
    <row r="41" spans="1:8" ht="17.25" customHeight="1">
      <c r="A41" s="48" t="s">
        <v>36</v>
      </c>
      <c r="B41" s="127">
        <v>40543</v>
      </c>
      <c r="C41" s="132">
        <v>40908</v>
      </c>
      <c r="D41" s="132">
        <v>41274</v>
      </c>
      <c r="E41" s="132">
        <v>41639</v>
      </c>
      <c r="F41" s="132">
        <v>42004</v>
      </c>
    </row>
    <row r="42" spans="1:8" ht="15" customHeight="1">
      <c r="A42" s="50" t="s">
        <v>101</v>
      </c>
      <c r="B42" s="126">
        <v>69335021</v>
      </c>
      <c r="C42" s="126">
        <v>70892326</v>
      </c>
      <c r="D42" s="126">
        <v>72056110</v>
      </c>
      <c r="E42" s="126">
        <v>74175758</v>
      </c>
      <c r="F42" s="126">
        <v>76108785</v>
      </c>
      <c r="G42" s="141">
        <f t="shared" ref="G42:H45" si="6">+E42/E$68</f>
        <v>6764.7750113999091</v>
      </c>
      <c r="H42" s="141">
        <f t="shared" si="6"/>
        <v>6941.065663474692</v>
      </c>
    </row>
    <row r="43" spans="1:8" ht="15" customHeight="1">
      <c r="A43" s="52" t="s">
        <v>159</v>
      </c>
      <c r="B43" s="126">
        <v>71054027</v>
      </c>
      <c r="C43" s="126">
        <v>76731636</v>
      </c>
      <c r="D43" s="126">
        <v>80585059</v>
      </c>
      <c r="E43" s="126">
        <v>85412709</v>
      </c>
      <c r="F43" s="126">
        <v>91254815</v>
      </c>
      <c r="G43" s="141">
        <f t="shared" si="6"/>
        <v>7789.5767441860462</v>
      </c>
      <c r="H43" s="141">
        <f t="shared" si="6"/>
        <v>8322.3725490196084</v>
      </c>
    </row>
    <row r="44" spans="1:8" ht="15" customHeight="1">
      <c r="A44" s="58" t="s">
        <v>31</v>
      </c>
      <c r="B44" s="42">
        <f>B43-B42</f>
        <v>1719006</v>
      </c>
      <c r="C44" s="42">
        <f>C43-C42</f>
        <v>5839310</v>
      </c>
      <c r="D44" s="42">
        <f>D43-D42</f>
        <v>8528949</v>
      </c>
      <c r="E44" s="42">
        <f>E43-E42</f>
        <v>11236951</v>
      </c>
      <c r="F44" s="42">
        <f>F43-F42</f>
        <v>15146030</v>
      </c>
      <c r="G44" s="141">
        <f t="shared" si="6"/>
        <v>1024.8017327861378</v>
      </c>
      <c r="H44" s="141">
        <f t="shared" si="6"/>
        <v>1381.3068855449155</v>
      </c>
    </row>
    <row r="45" spans="1:8" ht="15" customHeight="1">
      <c r="A45" s="59" t="s">
        <v>198</v>
      </c>
      <c r="B45" s="125">
        <f>B42/B43</f>
        <v>0.97580705735369511</v>
      </c>
      <c r="C45" s="125">
        <f>C42/C43</f>
        <v>0.92389957644067433</v>
      </c>
      <c r="D45" s="125">
        <f>D42/D43</f>
        <v>0.89416215479844718</v>
      </c>
      <c r="E45" s="125">
        <f>E42/E43</f>
        <v>0.86843935602136213</v>
      </c>
      <c r="F45" s="125">
        <f>F42/F43</f>
        <v>0.83402486761931416</v>
      </c>
      <c r="G45" s="141">
        <f t="shared" si="6"/>
        <v>7.9201035660862937E-5</v>
      </c>
      <c r="H45" s="141">
        <f t="shared" si="6"/>
        <v>7.6062459427206027E-5</v>
      </c>
    </row>
    <row r="46" spans="1:8" ht="15" customHeight="1">
      <c r="A46" s="38" t="s">
        <v>185</v>
      </c>
      <c r="B46" s="22"/>
      <c r="C46" s="22"/>
      <c r="D46" s="22"/>
      <c r="E46" s="22"/>
      <c r="F46" s="22"/>
    </row>
    <row r="47" spans="1:8" ht="17.25" customHeight="1">
      <c r="A47" s="48" t="s">
        <v>36</v>
      </c>
      <c r="B47" s="130">
        <v>40408</v>
      </c>
      <c r="C47" s="130">
        <v>41214</v>
      </c>
      <c r="D47" s="130">
        <v>41214</v>
      </c>
      <c r="E47" s="130">
        <v>41890</v>
      </c>
      <c r="F47" s="130">
        <v>41890</v>
      </c>
    </row>
    <row r="48" spans="1:8" ht="15" customHeight="1">
      <c r="A48" s="50" t="s">
        <v>101</v>
      </c>
      <c r="B48" s="126">
        <v>600000</v>
      </c>
      <c r="C48" s="126">
        <v>1069115</v>
      </c>
      <c r="D48" s="126">
        <v>1069115</v>
      </c>
      <c r="E48" s="126">
        <v>1414043</v>
      </c>
      <c r="F48" s="44">
        <v>1414043</v>
      </c>
      <c r="G48" s="141">
        <f t="shared" ref="G48:H50" si="7">+E48/E$68</f>
        <v>128.95968992248061</v>
      </c>
      <c r="H48" s="141">
        <f t="shared" si="7"/>
        <v>128.95968992248061</v>
      </c>
    </row>
    <row r="49" spans="1:8" ht="15" customHeight="1">
      <c r="A49" s="52" t="s">
        <v>159</v>
      </c>
      <c r="B49" s="126">
        <v>5242414</v>
      </c>
      <c r="C49" s="126">
        <v>5293565</v>
      </c>
      <c r="D49" s="126">
        <v>5293565</v>
      </c>
      <c r="E49" s="126">
        <v>5984348</v>
      </c>
      <c r="F49" s="44">
        <v>5984348</v>
      </c>
      <c r="G49" s="141">
        <f t="shared" si="7"/>
        <v>545.76817145462837</v>
      </c>
      <c r="H49" s="141">
        <f t="shared" si="7"/>
        <v>545.76817145462837</v>
      </c>
    </row>
    <row r="50" spans="1:8" ht="15" customHeight="1">
      <c r="A50" s="58" t="s">
        <v>70</v>
      </c>
      <c r="B50" s="42">
        <f>+B49-B48</f>
        <v>4642414</v>
      </c>
      <c r="C50" s="42">
        <f>+C49-C48</f>
        <v>4224450</v>
      </c>
      <c r="D50" s="42">
        <f>+D49-D48</f>
        <v>4224450</v>
      </c>
      <c r="E50" s="42">
        <f>+E49-E48</f>
        <v>4570305</v>
      </c>
      <c r="F50" s="42">
        <f>+F49-F48</f>
        <v>4570305</v>
      </c>
      <c r="G50" s="141">
        <f t="shared" si="7"/>
        <v>416.80848153214777</v>
      </c>
      <c r="H50" s="141">
        <f t="shared" si="7"/>
        <v>416.80848153214777</v>
      </c>
    </row>
    <row r="51" spans="1:8" ht="15" customHeight="1">
      <c r="A51" s="59" t="s">
        <v>198</v>
      </c>
      <c r="B51" s="125">
        <f>+B48/B49</f>
        <v>0.11445109066166846</v>
      </c>
      <c r="C51" s="125">
        <f>+C48/C49</f>
        <v>0.20196502734924385</v>
      </c>
      <c r="D51" s="125">
        <f>+D48/D49</f>
        <v>0.20196502734924385</v>
      </c>
      <c r="E51" s="125">
        <f>+E48/E49</f>
        <v>0.23629023579511085</v>
      </c>
      <c r="F51" s="125">
        <f>+F48/F49</f>
        <v>0.23629023579511085</v>
      </c>
      <c r="G51" s="42"/>
      <c r="H51" s="42"/>
    </row>
    <row r="52" spans="1:8" ht="15" customHeight="1">
      <c r="A52" s="49" t="s">
        <v>121</v>
      </c>
    </row>
    <row r="53" spans="1:8" ht="15" customHeight="1">
      <c r="A53" s="50" t="s">
        <v>101</v>
      </c>
      <c r="B53" s="42">
        <f t="shared" ref="B53:F54" si="8">+B42+B48</f>
        <v>69935021</v>
      </c>
      <c r="C53" s="42">
        <f t="shared" si="8"/>
        <v>71961441</v>
      </c>
      <c r="D53" s="42">
        <f t="shared" si="8"/>
        <v>73125225</v>
      </c>
      <c r="E53" s="42">
        <f t="shared" si="8"/>
        <v>75589801</v>
      </c>
      <c r="F53" s="42">
        <f t="shared" si="8"/>
        <v>77522828</v>
      </c>
    </row>
    <row r="54" spans="1:8" ht="15" customHeight="1">
      <c r="A54" s="52" t="s">
        <v>159</v>
      </c>
      <c r="B54" s="42">
        <f t="shared" si="8"/>
        <v>76296441</v>
      </c>
      <c r="C54" s="42">
        <f t="shared" si="8"/>
        <v>82025201</v>
      </c>
      <c r="D54" s="42">
        <f t="shared" si="8"/>
        <v>85878624</v>
      </c>
      <c r="E54" s="42">
        <f t="shared" si="8"/>
        <v>91397057</v>
      </c>
      <c r="F54" s="42">
        <f t="shared" si="8"/>
        <v>97239163</v>
      </c>
      <c r="G54" s="141">
        <f t="shared" ref="G54:H56" si="9">+E54/E$68</f>
        <v>8335.344915640675</v>
      </c>
      <c r="H54" s="141">
        <f t="shared" si="9"/>
        <v>8868.1407204742354</v>
      </c>
    </row>
    <row r="55" spans="1:8" ht="15" customHeight="1">
      <c r="A55" s="58" t="s">
        <v>70</v>
      </c>
      <c r="B55" s="42">
        <f>+B54-B53</f>
        <v>6361420</v>
      </c>
      <c r="C55" s="42">
        <f>+C54-C53</f>
        <v>10063760</v>
      </c>
      <c r="D55" s="42">
        <f>+D54-D53</f>
        <v>12753399</v>
      </c>
      <c r="E55" s="42">
        <f>+E54-E53</f>
        <v>15807256</v>
      </c>
      <c r="F55" s="42">
        <f>+F54-F53</f>
        <v>19716335</v>
      </c>
      <c r="G55" s="141">
        <f t="shared" si="9"/>
        <v>1441.6102143182854</v>
      </c>
      <c r="H55" s="141">
        <f t="shared" si="9"/>
        <v>1798.1153670770634</v>
      </c>
    </row>
    <row r="56" spans="1:8" ht="15" customHeight="1" thickBot="1">
      <c r="A56" s="60" t="s">
        <v>198</v>
      </c>
      <c r="B56" s="125">
        <f>+B53/B54</f>
        <v>0.91662232318280745</v>
      </c>
      <c r="C56" s="125">
        <f>+C53/C54</f>
        <v>0.87730892607017197</v>
      </c>
      <c r="D56" s="125">
        <f>+D53/D54</f>
        <v>0.85149507053117202</v>
      </c>
      <c r="E56" s="125">
        <f>+E53/E54</f>
        <v>0.82704852301754095</v>
      </c>
      <c r="F56" s="125">
        <f>+F53/F54</f>
        <v>0.79723874217222546</v>
      </c>
      <c r="G56" s="141">
        <f t="shared" si="9"/>
        <v>7.5426221889424619E-5</v>
      </c>
      <c r="H56" s="141">
        <f t="shared" si="9"/>
        <v>7.2707591625373956E-5</v>
      </c>
    </row>
    <row r="57" spans="1:8" ht="15" customHeight="1" thickTop="1">
      <c r="A57" s="38" t="s">
        <v>122</v>
      </c>
    </row>
    <row r="58" spans="1:8" ht="15" customHeight="1">
      <c r="A58" s="50" t="s">
        <v>95</v>
      </c>
      <c r="B58" s="126">
        <f>1640000+8755000</f>
        <v>10395000</v>
      </c>
      <c r="C58" s="126">
        <v>9805000</v>
      </c>
      <c r="D58" s="126">
        <v>9140000</v>
      </c>
      <c r="E58" s="126">
        <f>450000+7985000</f>
        <v>8435000</v>
      </c>
      <c r="F58" s="44">
        <f>7675000+4520000+6545000</f>
        <v>18740000</v>
      </c>
      <c r="G58" s="141">
        <f t="shared" ref="G58:G65" si="10">+E58/E$68</f>
        <v>769.26584587323305</v>
      </c>
      <c r="H58" s="141">
        <f t="shared" ref="H58:H65" si="11">+F58/F$68</f>
        <v>1709.0743274053807</v>
      </c>
    </row>
    <row r="59" spans="1:8" ht="15" customHeight="1">
      <c r="A59" s="52" t="s">
        <v>194</v>
      </c>
      <c r="B59" s="44">
        <v>1134626</v>
      </c>
      <c r="C59" s="44">
        <v>1134626</v>
      </c>
      <c r="D59" s="44">
        <v>1134626</v>
      </c>
      <c r="E59" s="44">
        <v>1116391</v>
      </c>
      <c r="F59" s="44">
        <v>1096130</v>
      </c>
      <c r="G59" s="141">
        <f t="shared" si="10"/>
        <v>101.81404468764249</v>
      </c>
      <c r="H59" s="141">
        <f t="shared" si="11"/>
        <v>99.966256269949838</v>
      </c>
    </row>
    <row r="60" spans="1:8" ht="15" customHeight="1">
      <c r="A60" s="55" t="s">
        <v>53</v>
      </c>
      <c r="B60" s="44">
        <v>40000</v>
      </c>
      <c r="C60" s="44">
        <v>35000</v>
      </c>
      <c r="D60" s="44">
        <v>30000</v>
      </c>
      <c r="E60" s="44">
        <v>20000</v>
      </c>
      <c r="F60" s="44">
        <v>10000</v>
      </c>
      <c r="G60" s="141">
        <f t="shared" si="10"/>
        <v>1.823985408116735</v>
      </c>
      <c r="H60" s="141">
        <f t="shared" si="11"/>
        <v>0.91199270405836752</v>
      </c>
    </row>
    <row r="61" spans="1:8" ht="15" customHeight="1">
      <c r="A61" s="61" t="s">
        <v>125</v>
      </c>
      <c r="B61" s="42">
        <f>SUM(B57:B60)</f>
        <v>11569626</v>
      </c>
      <c r="C61" s="42">
        <f>SUM(C57:C60)</f>
        <v>10974626</v>
      </c>
      <c r="D61" s="42">
        <f>SUM(D57:D60)</f>
        <v>10304626</v>
      </c>
      <c r="E61" s="42">
        <f>SUM(E57:E60)</f>
        <v>9571391</v>
      </c>
      <c r="F61" s="42">
        <f>SUM(F57:F60)</f>
        <v>19846130</v>
      </c>
      <c r="G61" s="141">
        <f t="shared" si="10"/>
        <v>872.90387596899222</v>
      </c>
      <c r="H61" s="141">
        <f t="shared" si="11"/>
        <v>1809.952576379389</v>
      </c>
    </row>
    <row r="62" spans="1:8" ht="15" customHeight="1">
      <c r="A62" s="52" t="s">
        <v>94</v>
      </c>
      <c r="B62" s="126">
        <v>955125</v>
      </c>
      <c r="C62" s="126">
        <v>1027047</v>
      </c>
      <c r="D62" s="126">
        <v>1063876</v>
      </c>
      <c r="E62" s="126">
        <v>935600</v>
      </c>
      <c r="F62" s="44">
        <v>908375</v>
      </c>
      <c r="G62" s="141">
        <f t="shared" si="10"/>
        <v>85.326037391700865</v>
      </c>
      <c r="H62" s="141">
        <f t="shared" si="11"/>
        <v>82.843137254901961</v>
      </c>
    </row>
    <row r="63" spans="1:8" ht="15" customHeight="1">
      <c r="A63" s="52" t="s">
        <v>13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141">
        <f t="shared" si="10"/>
        <v>0</v>
      </c>
      <c r="H63" s="141">
        <f t="shared" si="11"/>
        <v>0</v>
      </c>
    </row>
    <row r="64" spans="1:8" ht="15" customHeight="1">
      <c r="A64" s="63" t="s">
        <v>77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141">
        <f t="shared" si="10"/>
        <v>0</v>
      </c>
      <c r="H64" s="141">
        <f t="shared" si="11"/>
        <v>0</v>
      </c>
    </row>
    <row r="65" spans="1:8" ht="15" customHeight="1">
      <c r="A65" s="64" t="s">
        <v>190</v>
      </c>
      <c r="B65" s="126">
        <v>16648</v>
      </c>
      <c r="C65" s="126">
        <v>12610</v>
      </c>
      <c r="D65" s="126">
        <v>9438</v>
      </c>
      <c r="E65" s="126">
        <v>0</v>
      </c>
      <c r="F65" s="44">
        <v>948195</v>
      </c>
      <c r="G65" s="141">
        <f t="shared" si="10"/>
        <v>0</v>
      </c>
      <c r="H65" s="141">
        <f t="shared" si="11"/>
        <v>86.474692202462379</v>
      </c>
    </row>
    <row r="66" spans="1:8" ht="15.75" customHeight="1" thickBot="1">
      <c r="A66" s="41" t="s">
        <v>191</v>
      </c>
      <c r="B66" s="42">
        <f>SUM(B61:B65)</f>
        <v>12541399</v>
      </c>
      <c r="C66" s="42">
        <f>SUM(C61:C65)</f>
        <v>12014283</v>
      </c>
      <c r="D66" s="42">
        <f>SUM(D61:D65)</f>
        <v>11377940</v>
      </c>
      <c r="E66" s="42">
        <f>SUM(E61:E65)</f>
        <v>10506991</v>
      </c>
      <c r="F66" s="42">
        <f>SUM(F61:F65)</f>
        <v>21702700</v>
      </c>
      <c r="G66" s="42">
        <f>(HLOOKUP($G$3,$B$3:$F$66,62))/(HLOOKUP($G$3,$B$3:$F$68,64))</f>
        <v>0</v>
      </c>
      <c r="H66" s="42">
        <f>(HLOOKUP($H$3,$B$3:$F$66,62))/(HLOOKUP($H$3,$B$3:$F$68,64))</f>
        <v>0</v>
      </c>
    </row>
    <row r="67" spans="1:8" ht="15.75" customHeight="1" thickTop="1"/>
    <row r="68" spans="1:8" ht="15" customHeight="1">
      <c r="A68" s="45" t="s">
        <v>115</v>
      </c>
      <c r="B68" s="46">
        <v>10511</v>
      </c>
      <c r="C68" s="46">
        <v>10650</v>
      </c>
      <c r="D68" s="46">
        <v>10895</v>
      </c>
      <c r="E68" s="46">
        <v>10965</v>
      </c>
      <c r="F68" s="44">
        <v>10965</v>
      </c>
    </row>
    <row r="70" spans="1:8" ht="15" customHeight="1">
      <c r="A70" s="35" t="s">
        <v>134</v>
      </c>
    </row>
    <row r="71" spans="1:8" ht="15" customHeight="1">
      <c r="A71" s="39" t="s">
        <v>52</v>
      </c>
      <c r="B71" s="44" t="s">
        <v>207</v>
      </c>
    </row>
    <row r="72" spans="1:8" ht="15" customHeight="1">
      <c r="A72" s="39" t="s">
        <v>136</v>
      </c>
      <c r="B72" s="44" t="s">
        <v>208</v>
      </c>
    </row>
    <row r="74" spans="1:8" ht="15" customHeight="1">
      <c r="A74" s="32" t="s">
        <v>217</v>
      </c>
    </row>
    <row r="75" spans="1:8" ht="15" customHeight="1">
      <c r="A75" s="32" t="s">
        <v>151</v>
      </c>
    </row>
    <row r="79" spans="1:8" ht="17.25" customHeight="1">
      <c r="B79" s="18"/>
      <c r="C79" s="18"/>
      <c r="D79" s="18"/>
      <c r="E79" s="18"/>
      <c r="F79" s="18"/>
    </row>
  </sheetData>
  <sheetProtection password="BCFE" sheet="1"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B41:F43 B47:F49 B58:C60 B62:C65 A1:H1 E62:F65 E58:F60">
    <cfRule type="expression" dxfId="8" priority="2" stopIfTrue="1">
      <formula>LEN(TRIM(A1))=0</formula>
    </cfRule>
  </conditionalFormatting>
  <conditionalFormatting sqref="E68:F68">
    <cfRule type="expression" dxfId="7" priority="3" stopIfTrue="1">
      <formula>LEN(TRIM(E68))=0</formula>
    </cfRule>
  </conditionalFormatting>
  <conditionalFormatting sqref="B71:B72">
    <cfRule type="expression" dxfId="6" priority="4" stopIfTrue="1">
      <formula>LEN(TRIM(B71))=0</formula>
    </cfRule>
  </conditionalFormatting>
  <conditionalFormatting sqref="D68">
    <cfRule type="expression" dxfId="5" priority="5" stopIfTrue="1">
      <formula>LEN(TRIM(D68))=0</formula>
    </cfRule>
  </conditionalFormatting>
  <conditionalFormatting sqref="C68">
    <cfRule type="expression" dxfId="4" priority="6" stopIfTrue="1">
      <formula>LEN(TRIM(C68))=0</formula>
    </cfRule>
  </conditionalFormatting>
  <conditionalFormatting sqref="B68">
    <cfRule type="expression" dxfId="3" priority="7" stopIfTrue="1">
      <formula>LEN(TRIM(B68))=0</formula>
    </cfRule>
  </conditionalFormatting>
  <conditionalFormatting sqref="D62:D65 D58:D60">
    <cfRule type="expression" dxfId="2" priority="1" stopIfTrue="1">
      <formula>LEN(TRIM(D58))=0</formula>
    </cfRule>
  </conditionalFormatting>
  <printOptions horizontalCentered="1"/>
  <pageMargins left="0.2" right="0.2" top="0.5" bottom="0.5" header="0.25" footer="0.25"/>
  <pageSetup scale="96" fitToHeight="0" orientation="landscape" r:id="rId1"/>
  <headerFooter alignWithMargins="0">
    <oddFooter>&amp;L&amp;"Calibri,Bold"CITIZEN'S GUIDE TO LOCAL UNIT FINANCES&amp;R&amp;"Calibri,Bold"&amp;A - &amp;P</oddFooter>
  </headerFooter>
  <rowBreaks count="2" manualBreakCount="2">
    <brk id="31" max="7" man="1"/>
    <brk id="56" max="7" man="1"/>
  </rowBreaks>
  <ignoredErrors>
    <ignoredError sqref="E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2"/>
  <sheetViews>
    <sheetView tabSelected="1" zoomScale="85" zoomScaleNormal="85" workbookViewId="0">
      <selection activeCell="O19" sqref="O19"/>
    </sheetView>
  </sheetViews>
  <sheetFormatPr defaultColWidth="13" defaultRowHeight="15" customHeight="1"/>
  <cols>
    <col min="1" max="1" width="13" style="14" customWidth="1"/>
    <col min="2" max="4" width="13.75" style="14" customWidth="1"/>
    <col min="5" max="6" width="5.375" style="14" customWidth="1"/>
    <col min="7" max="8" width="2.875" style="14" customWidth="1"/>
    <col min="9" max="9" width="24.25" style="14" customWidth="1"/>
    <col min="10" max="11" width="17.375" style="14" customWidth="1"/>
    <col min="12" max="12" width="8.875" style="14" customWidth="1"/>
    <col min="13" max="14" width="2.875" style="14" customWidth="1"/>
    <col min="15" max="16384" width="13" style="14"/>
  </cols>
  <sheetData>
    <row r="1" spans="1:14" ht="15" customHeight="1">
      <c r="A1" s="153" t="str">
        <f>'Data Input'!A1:H1</f>
        <v>CITIZENS' GUIDE TO LOCAL UNIT FINANCES - Grand Haven - Ottawa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" customHeight="1">
      <c r="A2" s="14" t="s">
        <v>212</v>
      </c>
      <c r="G2" s="14" t="s">
        <v>167</v>
      </c>
    </row>
    <row r="3" spans="1:14" ht="15" customHeight="1">
      <c r="A3" s="70"/>
      <c r="B3" s="71"/>
      <c r="C3" s="71"/>
      <c r="D3" s="71"/>
      <c r="E3" s="72"/>
      <c r="G3" s="23"/>
      <c r="H3" s="66"/>
      <c r="I3" s="66"/>
      <c r="J3" s="66"/>
      <c r="K3" s="66"/>
      <c r="L3" s="66"/>
      <c r="M3" s="24"/>
      <c r="N3" s="25"/>
    </row>
    <row r="4" spans="1:14" ht="15" customHeight="1">
      <c r="A4" s="73"/>
      <c r="E4" s="74"/>
      <c r="G4" s="26"/>
      <c r="I4" s="67"/>
      <c r="J4" s="68">
        <f>K4-1</f>
        <v>2014</v>
      </c>
      <c r="K4" s="68">
        <f>IF('Data Input'!F17&lt;&gt;0,'Data Input'!F3,IF('Data Input'!E17&lt;&gt;0,'Data Input'!E3,IF('Data Input'!D17&lt;&gt;0,'Data Input'!D3,'Data Input'!C3)))</f>
        <v>2015</v>
      </c>
      <c r="L4" s="69" t="s">
        <v>12</v>
      </c>
      <c r="N4" s="27"/>
    </row>
    <row r="5" spans="1:14" ht="19.5" customHeight="1">
      <c r="A5" s="73"/>
      <c r="C5" s="65"/>
      <c r="E5" s="74"/>
      <c r="G5" s="26"/>
      <c r="I5" s="97" t="str">
        <f>'Data Input'!A6</f>
        <v>Taxes</v>
      </c>
      <c r="J5" s="98">
        <f>HLOOKUP(J4,'Data Input'!B3:F17,4)</f>
        <v>8954940</v>
      </c>
      <c r="K5" s="98">
        <f>HLOOKUP(K4,'Data Input'!B3:F17,4)</f>
        <v>9228224</v>
      </c>
      <c r="L5" s="99">
        <f t="shared" ref="L5:L13" si="0">IF(J5=0,"N/A",(K5-J5)/J5)</f>
        <v>3.0517680743812912E-2</v>
      </c>
      <c r="N5" s="27"/>
    </row>
    <row r="6" spans="1:14" ht="15" customHeight="1">
      <c r="A6" s="73"/>
      <c r="E6" s="74"/>
      <c r="G6" s="26"/>
      <c r="I6" s="54" t="str">
        <f>'Data Input'!A7</f>
        <v>Licenses &amp; Permits</v>
      </c>
      <c r="J6" s="98">
        <f>HLOOKUP(J4,'Data Input'!B3:F17,5)</f>
        <v>577518</v>
      </c>
      <c r="K6" s="98">
        <f>HLOOKUP(K4,'Data Input'!B3:F17,5)</f>
        <v>529776</v>
      </c>
      <c r="L6" s="100">
        <f t="shared" si="0"/>
        <v>-8.2667553219120449E-2</v>
      </c>
      <c r="N6" s="27"/>
    </row>
    <row r="7" spans="1:14" ht="15" customHeight="1">
      <c r="A7" s="73"/>
      <c r="E7" s="74"/>
      <c r="G7" s="26"/>
      <c r="I7" s="54" t="str">
        <f>'Data Input'!A8</f>
        <v>Federal Government</v>
      </c>
      <c r="J7" s="98">
        <f>HLOOKUP(J4,'Data Input'!B3:F17,6)</f>
        <v>1753581</v>
      </c>
      <c r="K7" s="98">
        <f>HLOOKUP(K4,'Data Input'!B3:F17,6)</f>
        <v>206563</v>
      </c>
      <c r="L7" s="100">
        <f t="shared" si="0"/>
        <v>-0.88220504213948481</v>
      </c>
      <c r="N7" s="27"/>
    </row>
    <row r="8" spans="1:14" ht="15" customHeight="1">
      <c r="A8" s="73"/>
      <c r="E8" s="74"/>
      <c r="G8" s="26"/>
      <c r="I8" s="54" t="str">
        <f>'Data Input'!A9</f>
        <v>State Government</v>
      </c>
      <c r="J8" s="98">
        <f>HLOOKUP(J4,'Data Input'!B3:F17,7)</f>
        <v>1937293</v>
      </c>
      <c r="K8" s="98">
        <f>HLOOKUP(K4,'Data Input'!B3:F17,7)</f>
        <v>1933101</v>
      </c>
      <c r="L8" s="101">
        <f t="shared" si="0"/>
        <v>-2.1638440855358482E-3</v>
      </c>
      <c r="N8" s="27"/>
    </row>
    <row r="9" spans="1:14" ht="15" customHeight="1">
      <c r="A9" s="73"/>
      <c r="E9" s="74"/>
      <c r="G9" s="26"/>
      <c r="I9" s="54" t="str">
        <f>'Data Input'!A10</f>
        <v>Local Contributions</v>
      </c>
      <c r="J9" s="98">
        <f>HLOOKUP(J4,'Data Input'!B3:F17,8)</f>
        <v>1039978</v>
      </c>
      <c r="K9" s="98">
        <f>HLOOKUP(K4,'Data Input'!B3:F17,8)</f>
        <v>964510</v>
      </c>
      <c r="L9" s="101">
        <f t="shared" si="0"/>
        <v>-7.2566919684839484E-2</v>
      </c>
      <c r="N9" s="27"/>
    </row>
    <row r="10" spans="1:14" ht="15" customHeight="1">
      <c r="A10" s="73"/>
      <c r="E10" s="74"/>
      <c r="G10" s="26"/>
      <c r="I10" s="54" t="str">
        <f>'Data Input'!A11</f>
        <v>Charges for Services</v>
      </c>
      <c r="J10" s="98">
        <f>HLOOKUP(J4,'Data Input'!B3:F17,9)</f>
        <v>669908</v>
      </c>
      <c r="K10" s="98">
        <f>HLOOKUP(K4,'Data Input'!B3:F17,9)</f>
        <v>601906</v>
      </c>
      <c r="L10" s="101">
        <f t="shared" si="0"/>
        <v>-0.101509461000615</v>
      </c>
      <c r="N10" s="27"/>
    </row>
    <row r="11" spans="1:14" ht="15" customHeight="1">
      <c r="A11" s="73"/>
      <c r="E11" s="74"/>
      <c r="G11" s="26"/>
      <c r="I11" s="54" t="str">
        <f>'Data Input'!A12</f>
        <v>Fines &amp; Forfeitures</v>
      </c>
      <c r="J11" s="98">
        <f>HLOOKUP(J4,'Data Input'!B3:F17,10)</f>
        <v>127788</v>
      </c>
      <c r="K11" s="98">
        <f>HLOOKUP(K4,'Data Input'!B3:F17,10)</f>
        <v>97268</v>
      </c>
      <c r="L11" s="101">
        <f t="shared" si="0"/>
        <v>-0.23883306726766207</v>
      </c>
      <c r="N11" s="27"/>
    </row>
    <row r="12" spans="1:14" ht="15" customHeight="1">
      <c r="A12" s="73"/>
      <c r="E12" s="74"/>
      <c r="G12" s="26"/>
      <c r="I12" s="54" t="str">
        <f>'Data Input'!A13</f>
        <v>Interest &amp; Rents</v>
      </c>
      <c r="J12" s="98">
        <f>HLOOKUP(J4,'Data Input'!B3:F17,11)</f>
        <v>264356</v>
      </c>
      <c r="K12" s="98">
        <f>HLOOKUP(K4,'Data Input'!B3:F17,11)</f>
        <v>396668</v>
      </c>
      <c r="L12" s="101">
        <f t="shared" si="0"/>
        <v>0.50050689222109579</v>
      </c>
      <c r="N12" s="27"/>
    </row>
    <row r="13" spans="1:14" ht="17.25" customHeight="1">
      <c r="A13" s="73"/>
      <c r="E13" s="74"/>
      <c r="G13" s="26"/>
      <c r="I13" s="54" t="str">
        <f>'Data Input'!A14</f>
        <v>Bond Proceeds</v>
      </c>
      <c r="J13" s="98">
        <f>HLOOKUP(J4,'Data Input'!B3:F17,12)</f>
        <v>0</v>
      </c>
      <c r="K13" s="98">
        <f>HLOOKUP(K4,'Data Input'!B3:F17,12)</f>
        <v>12261195</v>
      </c>
      <c r="L13" s="101" t="str">
        <f t="shared" si="0"/>
        <v>N/A</v>
      </c>
      <c r="N13" s="27"/>
    </row>
    <row r="14" spans="1:14" ht="17.25" customHeight="1">
      <c r="A14" s="73"/>
      <c r="E14" s="74"/>
      <c r="G14" s="26"/>
      <c r="I14" s="135" t="str">
        <f>+'Data Input'!A15</f>
        <v>Interfund Transfers In</v>
      </c>
      <c r="J14" s="136">
        <f>HLOOKUP(J4,'Data Input'!B3:F17,13)</f>
        <v>5999231</v>
      </c>
      <c r="K14" s="136">
        <f>HLOOKUP(K4,'Data Input'!B3:F17,13)</f>
        <v>6343543</v>
      </c>
      <c r="L14" s="102">
        <f>IF(J14=0,"N/A",(K14-J14)/J14)</f>
        <v>5.7392689162994392E-2</v>
      </c>
      <c r="N14" s="27"/>
    </row>
    <row r="15" spans="1:14" ht="15" customHeight="1">
      <c r="A15" s="73"/>
      <c r="E15" s="74"/>
      <c r="G15" s="26"/>
      <c r="I15" s="129" t="str">
        <f>'Data Input'!A16</f>
        <v>Other Revenues</v>
      </c>
      <c r="J15" s="137">
        <f>+'Data Input'!E16</f>
        <v>353186</v>
      </c>
      <c r="K15" s="137">
        <f>+'Data Input'!F16</f>
        <v>217737</v>
      </c>
      <c r="L15" s="134">
        <f>IF(J15=0,"N/A",(K15-J15)/J15)</f>
        <v>-0.38350614124002652</v>
      </c>
      <c r="N15" s="27"/>
    </row>
    <row r="16" spans="1:14" ht="15" customHeight="1">
      <c r="A16" s="73"/>
      <c r="E16" s="74"/>
      <c r="G16" s="26"/>
      <c r="I16" s="133" t="str">
        <f>'Data Input'!A17</f>
        <v>Total Revenues</v>
      </c>
      <c r="J16" s="137">
        <f>SUM(J5:J15)</f>
        <v>21677779</v>
      </c>
      <c r="K16" s="137">
        <f>SUM(K5:K15)</f>
        <v>32780491</v>
      </c>
      <c r="L16" s="134">
        <f>IF(J16=0,"N/A",(K16-J16)/J16)</f>
        <v>0.51217018127179914</v>
      </c>
      <c r="N16" s="27"/>
    </row>
    <row r="17" spans="1:14" ht="15" customHeight="1">
      <c r="A17" s="75"/>
      <c r="B17" s="76"/>
      <c r="C17" s="76"/>
      <c r="D17" s="76"/>
      <c r="E17" s="77"/>
      <c r="G17" s="28"/>
      <c r="H17" s="29"/>
      <c r="I17" s="29"/>
      <c r="J17" s="29"/>
      <c r="K17" s="29"/>
      <c r="L17" s="29"/>
      <c r="M17" s="29"/>
      <c r="N17" s="30"/>
    </row>
    <row r="18" spans="1:14" ht="15" customHeight="1">
      <c r="A18" s="14" t="s">
        <v>2</v>
      </c>
      <c r="G18" s="14" t="s">
        <v>88</v>
      </c>
    </row>
    <row r="19" spans="1:14" ht="15" customHeight="1">
      <c r="A19" s="70"/>
      <c r="B19" s="71"/>
      <c r="C19" s="71"/>
      <c r="D19" s="71"/>
      <c r="E19" s="72"/>
      <c r="G19" s="70"/>
      <c r="H19" s="71"/>
      <c r="I19" s="71"/>
      <c r="J19" s="71"/>
      <c r="K19" s="71"/>
      <c r="L19" s="71"/>
      <c r="M19" s="71"/>
      <c r="N19" s="72"/>
    </row>
    <row r="20" spans="1:14" ht="15" customHeight="1">
      <c r="A20" s="73"/>
      <c r="C20" s="65"/>
      <c r="D20" s="65"/>
      <c r="E20" s="74"/>
      <c r="G20" s="73"/>
      <c r="L20" s="123">
        <v>1</v>
      </c>
      <c r="N20" s="74"/>
    </row>
    <row r="21" spans="1:14" ht="15" customHeight="1">
      <c r="A21" s="73"/>
      <c r="E21" s="74"/>
      <c r="G21" s="73"/>
      <c r="I21" s="65">
        <f>'Data Input'!B3</f>
        <v>2011</v>
      </c>
      <c r="J21" s="65">
        <f>'Data Input'!C3</f>
        <v>2012</v>
      </c>
      <c r="K21" s="65">
        <f>'Data Input'!D3</f>
        <v>2013</v>
      </c>
      <c r="L21" s="65">
        <f>'Data Input'!E3</f>
        <v>2014</v>
      </c>
      <c r="M21" s="65">
        <f>'Data Input'!F3</f>
        <v>2015</v>
      </c>
      <c r="N21" s="74"/>
    </row>
    <row r="22" spans="1:14" ht="15" customHeight="1">
      <c r="A22" s="73"/>
      <c r="E22" s="74"/>
      <c r="G22" s="73"/>
      <c r="H22" s="14" t="str">
        <f t="shared" ref="H22:H29" si="1">I5</f>
        <v>Taxes</v>
      </c>
      <c r="I22" s="14">
        <f>'Data Input'!B6</f>
        <v>9024352</v>
      </c>
      <c r="J22" s="14">
        <f>'Data Input'!C6</f>
        <v>9187499</v>
      </c>
      <c r="K22" s="14">
        <f>'Data Input'!D6</f>
        <v>8784943</v>
      </c>
      <c r="L22" s="14">
        <f>'Data Input'!E6</f>
        <v>8954940</v>
      </c>
      <c r="M22" s="14">
        <f>'Data Input'!F6</f>
        <v>9228224</v>
      </c>
      <c r="N22" s="74"/>
    </row>
    <row r="23" spans="1:14" ht="15" customHeight="1">
      <c r="A23" s="73"/>
      <c r="E23" s="74"/>
      <c r="G23" s="73"/>
      <c r="H23" s="14" t="str">
        <f t="shared" si="1"/>
        <v>Licenses &amp; Permits</v>
      </c>
      <c r="I23" s="14">
        <f>'Data Input'!B7</f>
        <v>405880</v>
      </c>
      <c r="J23" s="14">
        <f>'Data Input'!C7</f>
        <v>492055</v>
      </c>
      <c r="K23" s="14">
        <f>'Data Input'!D7</f>
        <v>479484</v>
      </c>
      <c r="L23" s="14">
        <f>'Data Input'!E7</f>
        <v>577518</v>
      </c>
      <c r="M23" s="14">
        <f>'Data Input'!F7</f>
        <v>529776</v>
      </c>
      <c r="N23" s="74"/>
    </row>
    <row r="24" spans="1:14" ht="15" customHeight="1">
      <c r="A24" s="73"/>
      <c r="E24" s="74"/>
      <c r="G24" s="73"/>
      <c r="H24" s="14" t="str">
        <f t="shared" si="1"/>
        <v>Federal Government</v>
      </c>
      <c r="I24" s="14">
        <f>'Data Input'!B8</f>
        <v>507587</v>
      </c>
      <c r="J24" s="14">
        <f>'Data Input'!C8</f>
        <v>383782</v>
      </c>
      <c r="K24" s="14">
        <f>'Data Input'!D8</f>
        <v>1009386</v>
      </c>
      <c r="L24" s="14">
        <f>'Data Input'!E8</f>
        <v>1753581</v>
      </c>
      <c r="M24" s="14">
        <f>'Data Input'!F8</f>
        <v>206563</v>
      </c>
      <c r="N24" s="74"/>
    </row>
    <row r="25" spans="1:14" ht="15" customHeight="1">
      <c r="A25" s="73"/>
      <c r="E25" s="74"/>
      <c r="G25" s="73"/>
      <c r="H25" s="14" t="str">
        <f t="shared" si="1"/>
        <v>State Government</v>
      </c>
      <c r="I25" s="14">
        <f>'Data Input'!B9</f>
        <v>1936767</v>
      </c>
      <c r="J25" s="14">
        <f>'Data Input'!C9</f>
        <v>2078077</v>
      </c>
      <c r="K25" s="14">
        <f>'Data Input'!D9</f>
        <v>1998718</v>
      </c>
      <c r="L25" s="14">
        <f>'Data Input'!E9</f>
        <v>1937293</v>
      </c>
      <c r="M25" s="14">
        <f>'Data Input'!F9</f>
        <v>1933101</v>
      </c>
      <c r="N25" s="74"/>
    </row>
    <row r="26" spans="1:14" ht="15" customHeight="1">
      <c r="A26" s="73"/>
      <c r="E26" s="74"/>
      <c r="G26" s="73"/>
      <c r="H26" s="14" t="str">
        <f t="shared" si="1"/>
        <v>Local Contributions</v>
      </c>
      <c r="I26" s="14">
        <f>'Data Input'!B10</f>
        <v>1013681</v>
      </c>
      <c r="J26" s="14">
        <f>'Data Input'!C10</f>
        <v>1919932</v>
      </c>
      <c r="K26" s="14">
        <f>'Data Input'!D10</f>
        <v>827137</v>
      </c>
      <c r="L26" s="14">
        <f>'Data Input'!E10</f>
        <v>1039978</v>
      </c>
      <c r="M26" s="14">
        <f>'Data Input'!F10</f>
        <v>964510</v>
      </c>
      <c r="N26" s="74"/>
    </row>
    <row r="27" spans="1:14" ht="15" customHeight="1">
      <c r="A27" s="73"/>
      <c r="E27" s="74"/>
      <c r="G27" s="73"/>
      <c r="H27" s="14" t="str">
        <f t="shared" si="1"/>
        <v>Charges for Services</v>
      </c>
      <c r="I27" s="14">
        <f>'Data Input'!B11</f>
        <v>276944</v>
      </c>
      <c r="J27" s="14">
        <f>'Data Input'!C11</f>
        <v>391901</v>
      </c>
      <c r="K27" s="14">
        <f>'Data Input'!D11</f>
        <v>625017</v>
      </c>
      <c r="L27" s="14">
        <f>'Data Input'!E11</f>
        <v>669908</v>
      </c>
      <c r="M27" s="14">
        <f>'Data Input'!F11</f>
        <v>601906</v>
      </c>
      <c r="N27" s="74"/>
    </row>
    <row r="28" spans="1:14" ht="15" customHeight="1">
      <c r="A28" s="73"/>
      <c r="E28" s="74"/>
      <c r="G28" s="73"/>
      <c r="H28" s="14" t="str">
        <f t="shared" si="1"/>
        <v>Fines &amp; Forfeitures</v>
      </c>
      <c r="I28" s="14">
        <f>'Data Input'!B12</f>
        <v>153754</v>
      </c>
      <c r="J28" s="14">
        <f>'Data Input'!C12</f>
        <v>100085</v>
      </c>
      <c r="K28" s="14">
        <f>'Data Input'!D12</f>
        <v>96736</v>
      </c>
      <c r="L28" s="14">
        <f>'Data Input'!E12</f>
        <v>127788</v>
      </c>
      <c r="M28" s="14">
        <f>'Data Input'!F12</f>
        <v>97268</v>
      </c>
      <c r="N28" s="74"/>
    </row>
    <row r="29" spans="1:14" ht="15" customHeight="1">
      <c r="A29" s="73"/>
      <c r="E29" s="74"/>
      <c r="G29" s="73"/>
      <c r="H29" s="14" t="str">
        <f t="shared" si="1"/>
        <v>Interest &amp; Rents</v>
      </c>
      <c r="I29" s="14">
        <f>'Data Input'!B13</f>
        <v>110618</v>
      </c>
      <c r="J29" s="14">
        <f>'Data Input'!C13</f>
        <v>114038</v>
      </c>
      <c r="K29" s="14">
        <f>'Data Input'!D13</f>
        <v>212953</v>
      </c>
      <c r="L29" s="14">
        <f>'Data Input'!E13</f>
        <v>264356</v>
      </c>
      <c r="M29" s="14">
        <f>'Data Input'!F13</f>
        <v>396668</v>
      </c>
      <c r="N29" s="74"/>
    </row>
    <row r="30" spans="1:14" ht="15" customHeight="1">
      <c r="A30" s="73"/>
      <c r="E30" s="74"/>
      <c r="G30" s="73"/>
      <c r="H30" s="14" t="str">
        <f>+'Data Input'!A14</f>
        <v>Bond Proceeds</v>
      </c>
      <c r="I30" s="14">
        <f>'Data Input'!B14</f>
        <v>0</v>
      </c>
      <c r="J30" s="14">
        <f>'Data Input'!C14</f>
        <v>0</v>
      </c>
      <c r="K30" s="14">
        <f>'Data Input'!D14</f>
        <v>0</v>
      </c>
      <c r="L30" s="14">
        <f>'Data Input'!E14</f>
        <v>0</v>
      </c>
      <c r="M30" s="14">
        <f>'Data Input'!F14</f>
        <v>12261195</v>
      </c>
      <c r="N30" s="74"/>
    </row>
    <row r="31" spans="1:14" ht="15" customHeight="1">
      <c r="A31" s="73"/>
      <c r="E31" s="74"/>
      <c r="G31" s="73"/>
      <c r="H31" s="14" t="str">
        <f>I15</f>
        <v>Other Revenues</v>
      </c>
      <c r="I31" s="14">
        <f>'Data Input'!B16</f>
        <v>455134</v>
      </c>
      <c r="J31" s="14">
        <f>'Data Input'!C16</f>
        <v>670322</v>
      </c>
      <c r="K31" s="14">
        <f>'Data Input'!D16</f>
        <v>268185</v>
      </c>
      <c r="L31" s="14">
        <f>'Data Input'!E16</f>
        <v>353186</v>
      </c>
      <c r="M31" s="14">
        <f>'Data Input'!F16</f>
        <v>217737</v>
      </c>
      <c r="N31" s="74"/>
    </row>
    <row r="32" spans="1:14" ht="15" customHeight="1">
      <c r="A32" s="73"/>
      <c r="E32" s="74"/>
      <c r="G32" s="73"/>
      <c r="H32" s="14" t="str">
        <f t="shared" ref="H32:M32" si="2">INDEX(H22:H31,$L$20)</f>
        <v>Taxes</v>
      </c>
      <c r="I32" s="14">
        <f t="shared" si="2"/>
        <v>9024352</v>
      </c>
      <c r="J32" s="14">
        <f t="shared" si="2"/>
        <v>9187499</v>
      </c>
      <c r="K32" s="14">
        <f t="shared" si="2"/>
        <v>8784943</v>
      </c>
      <c r="L32" s="14">
        <f t="shared" si="2"/>
        <v>8954940</v>
      </c>
      <c r="M32" s="14">
        <f t="shared" si="2"/>
        <v>9228224</v>
      </c>
      <c r="N32" s="74"/>
    </row>
    <row r="33" spans="1:16" ht="15" customHeight="1">
      <c r="A33" s="75"/>
      <c r="B33" s="76"/>
      <c r="C33" s="76"/>
      <c r="D33" s="76"/>
      <c r="E33" s="77"/>
      <c r="G33" s="75"/>
      <c r="H33" s="76"/>
      <c r="I33" s="76"/>
      <c r="J33" s="76"/>
      <c r="K33" s="76"/>
      <c r="L33" s="76"/>
      <c r="M33" s="76"/>
      <c r="N33" s="77"/>
    </row>
    <row r="35" spans="1:16" ht="15" customHeight="1">
      <c r="A35" s="144" t="s">
        <v>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31"/>
      <c r="P35" s="31"/>
    </row>
    <row r="36" spans="1:16" ht="1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31"/>
      <c r="P36" s="31"/>
    </row>
    <row r="37" spans="1:16" ht="15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31"/>
      <c r="P37" s="31"/>
    </row>
    <row r="38" spans="1:16" ht="15" customHeight="1">
      <c r="A38" s="14" t="str">
        <f>CONCATENATE("For more information on our unit's finances, contact ",'Data Input'!B71," at ",'Data Input'!B72,".")</f>
        <v>For more information on our unit's finances, contact James P. Bonamy, Finance Director at 616 847-4893.</v>
      </c>
    </row>
    <row r="40" spans="1:16" ht="15" customHeight="1">
      <c r="A40" s="14" t="s">
        <v>200</v>
      </c>
    </row>
    <row r="41" spans="1:16" ht="15" customHeight="1">
      <c r="A41" s="32" t="s">
        <v>217</v>
      </c>
    </row>
    <row r="42" spans="1:16" ht="15" customHeight="1">
      <c r="A42" s="14" t="s">
        <v>153</v>
      </c>
    </row>
  </sheetData>
  <sheetProtection password="BCFE" sheet="1" formatCells="0" formatColumns="0" formatRows="0" insertColumns="0" insertRows="0" insertHyperlinks="0" deleteColumns="0" deleteRows="0" sort="0" autoFilter="0" pivotTables="0"/>
  <mergeCells count="2">
    <mergeCell ref="A35:N37"/>
    <mergeCell ref="A1:N1"/>
  </mergeCells>
  <printOptions horizontalCentered="1"/>
  <pageMargins left="0.2" right="0.2" top="0.5" bottom="0.5" header="0.25" footer="0.25"/>
  <pageSetup scale="93" orientation="landscape" r:id="rId1"/>
  <headerFooter alignWithMargins="0">
    <oddFooter>&amp;L&amp;"Calibri,Bold"CITIZEN'S GUIDE TO LOCAL UNIT FINANCES&amp;R&amp;"Calibri,Bold"&amp;A -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0" r:id="rId4" name="Drop Down 172">
              <controlPr locked="0" defaultSize="0" autoLine="0" autoPict="0">
                <anchor moveWithCells="1">
                  <from>
                    <xdr:col>8</xdr:col>
                    <xdr:colOff>1162050</xdr:colOff>
                    <xdr:row>19</xdr:row>
                    <xdr:rowOff>0</xdr:rowOff>
                  </from>
                  <to>
                    <xdr:col>9</xdr:col>
                    <xdr:colOff>1066800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5" name="Drop Down 674">
              <controlPr locked="0" defaultSize="0" autoLine="0" autoPict="0">
                <anchor moveWithCells="1">
                  <from>
                    <xdr:col>8</xdr:col>
                    <xdr:colOff>1162050</xdr:colOff>
                    <xdr:row>19</xdr:row>
                    <xdr:rowOff>0</xdr:rowOff>
                  </from>
                  <to>
                    <xdr:col>9</xdr:col>
                    <xdr:colOff>1066800</xdr:colOff>
                    <xdr:row>20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N46"/>
  <sheetViews>
    <sheetView zoomScale="85" zoomScaleNormal="85" workbookViewId="0">
      <selection activeCell="P27" sqref="P27"/>
    </sheetView>
  </sheetViews>
  <sheetFormatPr defaultColWidth="13" defaultRowHeight="15" customHeight="1"/>
  <cols>
    <col min="1" max="1" width="11" customWidth="1"/>
    <col min="2" max="3" width="13.75" customWidth="1"/>
    <col min="4" max="4" width="13" customWidth="1"/>
    <col min="5" max="5" width="13.75" customWidth="1"/>
    <col min="6" max="6" width="4.875" customWidth="1"/>
    <col min="7" max="8" width="2.875" customWidth="1"/>
    <col min="9" max="9" width="31.75" customWidth="1"/>
    <col min="10" max="11" width="17.375" customWidth="1"/>
    <col min="12" max="12" width="9.125" customWidth="1"/>
    <col min="13" max="14" width="2.875" customWidth="1"/>
  </cols>
  <sheetData>
    <row r="1" spans="1:14" ht="15" customHeight="1">
      <c r="A1" s="154" t="str">
        <f>'Data Input'!A1:H1</f>
        <v>CITIZENS' GUIDE TO LOCAL UNIT FINANCES - Grand Haven - Ottawa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5" customHeight="1">
      <c r="A2" t="s">
        <v>216</v>
      </c>
      <c r="G2" t="s">
        <v>167</v>
      </c>
    </row>
    <row r="3" spans="1:14" ht="15" customHeight="1">
      <c r="A3" s="80"/>
      <c r="B3" s="81"/>
      <c r="C3" s="81"/>
      <c r="D3" s="81"/>
      <c r="E3" s="82"/>
      <c r="G3" s="5"/>
      <c r="H3" s="79"/>
      <c r="I3" s="79"/>
      <c r="J3" s="79"/>
      <c r="K3" s="79"/>
      <c r="L3" s="79"/>
      <c r="M3" s="6"/>
      <c r="N3" s="7"/>
    </row>
    <row r="4" spans="1:14" ht="19.5" customHeight="1">
      <c r="A4" s="83"/>
      <c r="C4" s="78">
        <f>'Data Input'!E3</f>
        <v>2014</v>
      </c>
      <c r="E4" s="84"/>
      <c r="G4" s="10"/>
      <c r="I4" s="93"/>
      <c r="J4" s="94">
        <f>K4-1</f>
        <v>2014</v>
      </c>
      <c r="K4" s="94">
        <f>IF('Data Input'!F30&lt;&gt;0,'Data Input'!F3,IF('Data Input'!E30&lt;&gt;0,'Data Input'!E3,IF('Data Input'!D30&lt;&gt;0,'Data Input'!D3,'Data Input'!C3)))</f>
        <v>2015</v>
      </c>
      <c r="L4" s="94" t="s">
        <v>12</v>
      </c>
      <c r="N4" s="9"/>
    </row>
    <row r="5" spans="1:14" ht="15" customHeight="1">
      <c r="A5" s="83"/>
      <c r="E5" s="84"/>
      <c r="G5" s="10"/>
      <c r="I5" s="103" t="str">
        <f>'Data Input'!A19</f>
        <v>General Government</v>
      </c>
      <c r="J5" s="104">
        <f>+'Data Input'!E19</f>
        <v>1953847</v>
      </c>
      <c r="K5" s="104">
        <f>+'Data Input'!F19</f>
        <v>2032262</v>
      </c>
      <c r="L5" s="105">
        <f t="shared" ref="L5:L15" si="0">IF(J5=0,"N/A",(K5-J5)/J5)</f>
        <v>4.0133644036610849E-2</v>
      </c>
      <c r="N5" s="9"/>
    </row>
    <row r="6" spans="1:14" ht="15" customHeight="1">
      <c r="A6" s="83"/>
      <c r="E6" s="84"/>
      <c r="G6" s="10"/>
      <c r="I6" s="106" t="str">
        <f>'Data Input'!A20</f>
        <v>Police &amp; Fire</v>
      </c>
      <c r="J6" s="104">
        <f>+'Data Input'!E20</f>
        <v>3826937</v>
      </c>
      <c r="K6" s="104">
        <f>+'Data Input'!F20</f>
        <v>3813953</v>
      </c>
      <c r="L6" s="107">
        <f t="shared" si="0"/>
        <v>-3.3927916764765137E-3</v>
      </c>
      <c r="N6" s="9"/>
    </row>
    <row r="7" spans="1:14" ht="15" customHeight="1">
      <c r="A7" s="83"/>
      <c r="E7" s="84"/>
      <c r="G7" s="10"/>
      <c r="I7" s="106" t="str">
        <f>'Data Input'!A21</f>
        <v>Other Public Safety</v>
      </c>
      <c r="J7" s="104">
        <f>+'Data Input'!E21</f>
        <v>290425</v>
      </c>
      <c r="K7" s="104">
        <f>+'Data Input'!F21</f>
        <v>274970</v>
      </c>
      <c r="L7" s="107">
        <f t="shared" si="0"/>
        <v>-5.321511577860033E-2</v>
      </c>
      <c r="N7" s="9"/>
    </row>
    <row r="8" spans="1:14" ht="15" customHeight="1">
      <c r="A8" s="83"/>
      <c r="E8" s="84"/>
      <c r="G8" s="10"/>
      <c r="I8" s="106" t="str">
        <f>'Data Input'!A22</f>
        <v xml:space="preserve">Roads </v>
      </c>
      <c r="J8" s="104">
        <f>+'Data Input'!E22</f>
        <v>1488507</v>
      </c>
      <c r="K8" s="104">
        <f>+'Data Input'!F22</f>
        <v>1346165</v>
      </c>
      <c r="L8" s="107">
        <f t="shared" si="0"/>
        <v>-9.5627363526002901E-2</v>
      </c>
      <c r="N8" s="9"/>
    </row>
    <row r="9" spans="1:14" ht="15" customHeight="1">
      <c r="A9" s="83"/>
      <c r="E9" s="84"/>
      <c r="G9" s="10"/>
      <c r="I9" s="106" t="str">
        <f>'Data Input'!A23</f>
        <v>Other Public Works</v>
      </c>
      <c r="J9" s="104">
        <f>+'Data Input'!E23</f>
        <v>1769434</v>
      </c>
      <c r="K9" s="104">
        <f>+'Data Input'!F23</f>
        <v>1870503</v>
      </c>
      <c r="L9" s="107">
        <f t="shared" si="0"/>
        <v>5.7119395241642244E-2</v>
      </c>
      <c r="N9" s="9"/>
    </row>
    <row r="10" spans="1:14" ht="15" customHeight="1">
      <c r="A10" s="83"/>
      <c r="E10" s="84"/>
      <c r="G10" s="10"/>
      <c r="I10" s="106" t="str">
        <f>'Data Input'!A24</f>
        <v>Health &amp; Welfare</v>
      </c>
      <c r="J10" s="104">
        <f>+'Data Input'!E24</f>
        <v>0</v>
      </c>
      <c r="K10" s="104">
        <f>+'Data Input'!F24</f>
        <v>0</v>
      </c>
      <c r="L10" s="107" t="str">
        <f t="shared" si="0"/>
        <v>N/A</v>
      </c>
      <c r="N10" s="9"/>
    </row>
    <row r="11" spans="1:14" ht="15" customHeight="1">
      <c r="A11" s="83"/>
      <c r="E11" s="84"/>
      <c r="G11" s="10"/>
      <c r="I11" s="106" t="str">
        <f>'Data Input'!A25</f>
        <v>Community/Econ. Development</v>
      </c>
      <c r="J11" s="104">
        <f>+'Data Input'!E25</f>
        <v>432037</v>
      </c>
      <c r="K11" s="104">
        <f>+'Data Input'!F25</f>
        <v>344778</v>
      </c>
      <c r="L11" s="107">
        <f t="shared" si="0"/>
        <v>-0.20197112747287849</v>
      </c>
      <c r="N11" s="9"/>
    </row>
    <row r="12" spans="1:14" ht="15" customHeight="1">
      <c r="A12" s="83"/>
      <c r="E12" s="84"/>
      <c r="G12" s="10"/>
      <c r="I12" s="106" t="str">
        <f>'Data Input'!A26</f>
        <v>Recreation &amp; Culture</v>
      </c>
      <c r="J12" s="104">
        <f>+'Data Input'!E26</f>
        <v>1249493</v>
      </c>
      <c r="K12" s="104">
        <f>+'Data Input'!F26</f>
        <v>1196643</v>
      </c>
      <c r="L12" s="107">
        <f t="shared" si="0"/>
        <v>-4.2297155726362612E-2</v>
      </c>
      <c r="N12" s="9"/>
    </row>
    <row r="13" spans="1:14" ht="15" customHeight="1">
      <c r="A13" s="83"/>
      <c r="E13" s="84"/>
      <c r="G13" s="10"/>
      <c r="I13" s="106" t="str">
        <f>'Data Input'!A27</f>
        <v>Capital Outlay</v>
      </c>
      <c r="J13" s="104">
        <f>+'Data Input'!E27</f>
        <v>5320577</v>
      </c>
      <c r="K13" s="104">
        <f>+'Data Input'!F27</f>
        <v>2074802</v>
      </c>
      <c r="L13" s="107">
        <f t="shared" si="0"/>
        <v>-0.61004191838591937</v>
      </c>
      <c r="N13" s="9"/>
    </row>
    <row r="14" spans="1:14">
      <c r="A14" s="83"/>
      <c r="E14" s="84"/>
      <c r="G14" s="10"/>
      <c r="I14" s="106" t="str">
        <f>'Data Input'!A28</f>
        <v>Debt Service</v>
      </c>
      <c r="J14" s="104">
        <f>+'Data Input'!E28</f>
        <v>1888493</v>
      </c>
      <c r="K14" s="104">
        <f>+'Data Input'!F28</f>
        <v>2085461</v>
      </c>
      <c r="L14" s="107">
        <f t="shared" si="0"/>
        <v>0.10429903632155375</v>
      </c>
      <c r="N14" s="9"/>
    </row>
    <row r="15" spans="1:14">
      <c r="A15" s="83"/>
      <c r="E15" s="84"/>
      <c r="G15" s="10"/>
      <c r="I15" s="108" t="str">
        <f>'Data Input'!A29</f>
        <v>Interfund Transfers Out</v>
      </c>
      <c r="J15" s="104">
        <f>+'Data Input'!E29</f>
        <v>4716331</v>
      </c>
      <c r="K15" s="104">
        <f>+'Data Input'!F29</f>
        <v>7633428</v>
      </c>
      <c r="L15" s="109">
        <f t="shared" si="0"/>
        <v>0.61850981197036425</v>
      </c>
      <c r="N15" s="9"/>
    </row>
    <row r="16" spans="1:14">
      <c r="A16" s="83"/>
      <c r="E16" s="84"/>
      <c r="G16" s="10"/>
      <c r="I16" s="142" t="s">
        <v>168</v>
      </c>
      <c r="J16" s="91">
        <f>+'Data Input'!E30</f>
        <v>22936081</v>
      </c>
      <c r="K16" s="91">
        <f>+'Data Input'!F30</f>
        <v>22672965</v>
      </c>
      <c r="L16" s="92">
        <f>(K16-J16)/J16</f>
        <v>-1.1471706958132908E-2</v>
      </c>
      <c r="N16" s="9"/>
    </row>
    <row r="17" spans="1:14" ht="15.75" customHeight="1">
      <c r="A17" s="83"/>
      <c r="E17" s="84"/>
      <c r="G17" s="10"/>
      <c r="I17" s="2"/>
      <c r="J17" s="88"/>
      <c r="K17" s="88"/>
      <c r="L17" s="89"/>
      <c r="N17" s="9"/>
    </row>
    <row r="18" spans="1:14" ht="12" customHeight="1">
      <c r="A18" s="85"/>
      <c r="B18" s="86"/>
      <c r="C18" s="86"/>
      <c r="D18" s="86"/>
      <c r="E18" s="87"/>
      <c r="G18" s="8"/>
      <c r="H18" s="11"/>
      <c r="I18" s="11"/>
      <c r="J18" s="11"/>
      <c r="K18" s="11"/>
      <c r="L18" s="11"/>
      <c r="M18" s="11"/>
      <c r="N18" s="12"/>
    </row>
    <row r="19" spans="1:14" ht="15" customHeight="1">
      <c r="A19" t="s">
        <v>60</v>
      </c>
      <c r="G19" t="s">
        <v>105</v>
      </c>
      <c r="I19" s="4"/>
    </row>
    <row r="20" spans="1:14" ht="15" customHeight="1">
      <c r="A20" s="80"/>
      <c r="B20" s="81"/>
      <c r="C20" s="81"/>
      <c r="D20" s="81"/>
      <c r="E20" s="82"/>
      <c r="G20" s="80"/>
      <c r="H20" s="81"/>
      <c r="I20" s="81"/>
      <c r="J20" s="81"/>
      <c r="K20" s="81"/>
      <c r="L20" s="81"/>
      <c r="M20" s="81"/>
      <c r="N20" s="82"/>
    </row>
    <row r="21" spans="1:14" ht="15" customHeight="1">
      <c r="A21" s="83"/>
      <c r="C21" s="78"/>
      <c r="D21" s="78"/>
      <c r="E21" s="84"/>
      <c r="G21" s="83"/>
      <c r="N21" s="84"/>
    </row>
    <row r="22" spans="1:14" ht="15" customHeight="1">
      <c r="A22" s="83"/>
      <c r="E22" s="84"/>
      <c r="G22" s="83"/>
      <c r="N22" s="84"/>
    </row>
    <row r="23" spans="1:14" ht="15" customHeight="1">
      <c r="A23" s="83"/>
      <c r="E23" s="84"/>
      <c r="G23" s="83"/>
      <c r="I23" s="123">
        <v>1</v>
      </c>
      <c r="N23" s="84"/>
    </row>
    <row r="24" spans="1:14" ht="15" customHeight="1">
      <c r="A24" s="83"/>
      <c r="E24" s="84"/>
      <c r="G24" s="83"/>
      <c r="I24" s="78">
        <f>'Data Input'!B3</f>
        <v>2011</v>
      </c>
      <c r="J24" s="78">
        <f>'Data Input'!C3</f>
        <v>2012</v>
      </c>
      <c r="K24" s="78">
        <f>'Data Input'!D3</f>
        <v>2013</v>
      </c>
      <c r="L24" s="78">
        <f>'Data Input'!E3</f>
        <v>2014</v>
      </c>
      <c r="M24" s="78">
        <f>'Data Input'!F3</f>
        <v>2015</v>
      </c>
      <c r="N24" s="84"/>
    </row>
    <row r="25" spans="1:14" ht="15" customHeight="1">
      <c r="A25" s="83"/>
      <c r="E25" s="84"/>
      <c r="G25" s="83"/>
      <c r="H25" t="str">
        <f>'Data Input'!A19</f>
        <v>General Government</v>
      </c>
      <c r="I25">
        <f>'Data Input'!B19</f>
        <v>2628804</v>
      </c>
      <c r="J25">
        <f>'Data Input'!C19</f>
        <v>2265969</v>
      </c>
      <c r="K25">
        <f>'Data Input'!D19</f>
        <v>2588230</v>
      </c>
      <c r="L25">
        <f>'Data Input'!E19</f>
        <v>1953847</v>
      </c>
      <c r="M25">
        <f>'Data Input'!F19</f>
        <v>2032262</v>
      </c>
      <c r="N25" s="84"/>
    </row>
    <row r="26" spans="1:14" ht="15" customHeight="1">
      <c r="A26" s="83"/>
      <c r="E26" s="84"/>
      <c r="G26" s="83"/>
      <c r="H26" t="str">
        <f>'Data Input'!A20</f>
        <v>Police &amp; Fire</v>
      </c>
      <c r="I26">
        <f>'Data Input'!B20</f>
        <v>3471435</v>
      </c>
      <c r="J26">
        <f>'Data Input'!C20</f>
        <v>3307385</v>
      </c>
      <c r="K26">
        <f>'Data Input'!D20</f>
        <v>3530041</v>
      </c>
      <c r="L26">
        <f>'Data Input'!E20</f>
        <v>3826937</v>
      </c>
      <c r="M26">
        <f>'Data Input'!F20</f>
        <v>3813953</v>
      </c>
      <c r="N26" s="84"/>
    </row>
    <row r="27" spans="1:14" ht="15" customHeight="1">
      <c r="A27" s="83"/>
      <c r="E27" s="84"/>
      <c r="G27" s="83"/>
      <c r="H27" t="str">
        <f>'Data Input'!A21</f>
        <v>Other Public Safety</v>
      </c>
      <c r="I27">
        <f>'Data Input'!B21</f>
        <v>0</v>
      </c>
      <c r="J27">
        <f>'Data Input'!C21</f>
        <v>301061</v>
      </c>
      <c r="K27">
        <f>'Data Input'!D21</f>
        <v>300436</v>
      </c>
      <c r="L27">
        <f>'Data Input'!E21</f>
        <v>290425</v>
      </c>
      <c r="M27">
        <f>'Data Input'!F21</f>
        <v>274970</v>
      </c>
      <c r="N27" s="84"/>
    </row>
    <row r="28" spans="1:14" ht="15" customHeight="1">
      <c r="A28" s="83"/>
      <c r="E28" s="84"/>
      <c r="G28" s="83"/>
      <c r="H28" t="str">
        <f>'Data Input'!A22</f>
        <v xml:space="preserve">Roads </v>
      </c>
      <c r="I28">
        <f>'Data Input'!B22</f>
        <v>1407711</v>
      </c>
      <c r="J28">
        <f>'Data Input'!C22</f>
        <v>2153978</v>
      </c>
      <c r="K28">
        <f>'Data Input'!D22</f>
        <v>1208431</v>
      </c>
      <c r="L28">
        <f>'Data Input'!E22</f>
        <v>1488507</v>
      </c>
      <c r="M28">
        <f>'Data Input'!F22</f>
        <v>1346165</v>
      </c>
      <c r="N28" s="84"/>
    </row>
    <row r="29" spans="1:14" ht="15" customHeight="1">
      <c r="A29" s="83"/>
      <c r="E29" s="84"/>
      <c r="G29" s="83"/>
      <c r="H29" t="str">
        <f>'Data Input'!A23</f>
        <v>Other Public Works</v>
      </c>
      <c r="I29">
        <f>'Data Input'!B23</f>
        <v>3088332</v>
      </c>
      <c r="J29">
        <f>'Data Input'!C23</f>
        <v>2422195</v>
      </c>
      <c r="K29">
        <f>'Data Input'!D23</f>
        <v>1806219</v>
      </c>
      <c r="L29">
        <f>'Data Input'!E23</f>
        <v>1769434</v>
      </c>
      <c r="M29">
        <f>'Data Input'!F23</f>
        <v>1870503</v>
      </c>
      <c r="N29" s="84"/>
    </row>
    <row r="30" spans="1:14" ht="15" customHeight="1">
      <c r="A30" s="83"/>
      <c r="E30" s="84"/>
      <c r="G30" s="83"/>
      <c r="H30" t="str">
        <f>'Data Input'!A24</f>
        <v>Health &amp; Welfare</v>
      </c>
      <c r="I30">
        <f>'Data Input'!B24</f>
        <v>0</v>
      </c>
      <c r="J30">
        <f>'Data Input'!C24</f>
        <v>0</v>
      </c>
      <c r="K30">
        <f>'Data Input'!D24</f>
        <v>0</v>
      </c>
      <c r="L30">
        <f>'Data Input'!E24</f>
        <v>0</v>
      </c>
      <c r="M30">
        <f>'Data Input'!F24</f>
        <v>0</v>
      </c>
      <c r="N30" s="84"/>
    </row>
    <row r="31" spans="1:14" ht="15" customHeight="1">
      <c r="A31" s="83"/>
      <c r="E31" s="84"/>
      <c r="G31" s="83"/>
      <c r="H31" t="str">
        <f>'Data Input'!A25</f>
        <v>Community/Econ. Development</v>
      </c>
      <c r="I31">
        <f>'Data Input'!B25</f>
        <v>102409</v>
      </c>
      <c r="J31">
        <f>'Data Input'!C25</f>
        <v>102410</v>
      </c>
      <c r="K31">
        <f>'Data Input'!D25</f>
        <v>696764</v>
      </c>
      <c r="L31">
        <f>'Data Input'!E25</f>
        <v>432037</v>
      </c>
      <c r="M31">
        <f>'Data Input'!F25</f>
        <v>344778</v>
      </c>
      <c r="N31" s="84"/>
    </row>
    <row r="32" spans="1:14" ht="15" customHeight="1">
      <c r="A32" s="83"/>
      <c r="E32" s="84"/>
      <c r="G32" s="83"/>
      <c r="H32" t="str">
        <f>'Data Input'!A26</f>
        <v>Recreation &amp; Culture</v>
      </c>
      <c r="I32">
        <f>'Data Input'!B26</f>
        <v>539696</v>
      </c>
      <c r="J32">
        <f>'Data Input'!C26</f>
        <v>520795</v>
      </c>
      <c r="K32">
        <f>'Data Input'!D26</f>
        <v>1211758</v>
      </c>
      <c r="L32">
        <f>'Data Input'!E26</f>
        <v>1249493</v>
      </c>
      <c r="M32">
        <f>'Data Input'!F26</f>
        <v>1196643</v>
      </c>
      <c r="N32" s="84"/>
    </row>
    <row r="33" spans="1:14" ht="15" customHeight="1">
      <c r="A33" s="83"/>
      <c r="E33" s="84"/>
      <c r="G33" s="83"/>
      <c r="H33" t="str">
        <f>'Data Input'!A27</f>
        <v>Capital Outlay</v>
      </c>
      <c r="I33">
        <f>'Data Input'!B27</f>
        <v>1813681</v>
      </c>
      <c r="J33">
        <f>'Data Input'!C27</f>
        <v>2057985</v>
      </c>
      <c r="K33">
        <f>'Data Input'!D27</f>
        <v>2317937</v>
      </c>
      <c r="L33">
        <f>'Data Input'!E27</f>
        <v>5320577</v>
      </c>
      <c r="M33">
        <f>'Data Input'!F27</f>
        <v>2074802</v>
      </c>
      <c r="N33" s="84"/>
    </row>
    <row r="34" spans="1:14" ht="15" customHeight="1">
      <c r="A34" s="83"/>
      <c r="E34" s="84"/>
      <c r="G34" s="83"/>
      <c r="H34" t="str">
        <f>'Data Input'!A28</f>
        <v>Debt Service</v>
      </c>
      <c r="I34">
        <f>'Data Input'!B28</f>
        <v>994095</v>
      </c>
      <c r="J34">
        <f>'Data Input'!C28</f>
        <v>1002917</v>
      </c>
      <c r="K34">
        <f>'Data Input'!D28</f>
        <v>1648739</v>
      </c>
      <c r="L34">
        <f>'Data Input'!E28</f>
        <v>1888493</v>
      </c>
      <c r="M34">
        <f>'Data Input'!F28</f>
        <v>2085461</v>
      </c>
      <c r="N34" s="84"/>
    </row>
    <row r="35" spans="1:14" ht="15" customHeight="1">
      <c r="A35" s="83"/>
      <c r="E35" s="84"/>
      <c r="G35" s="83"/>
      <c r="H35" t="str">
        <f>'Data Input'!A29</f>
        <v>Interfund Transfers Out</v>
      </c>
      <c r="I35">
        <f>'Data Input'!B29</f>
        <v>3402002</v>
      </c>
      <c r="J35">
        <f>'Data Input'!C29</f>
        <v>8402844</v>
      </c>
      <c r="K35">
        <f>'Data Input'!D29</f>
        <v>4039141</v>
      </c>
      <c r="L35">
        <f>'Data Input'!E29</f>
        <v>4716331</v>
      </c>
      <c r="M35">
        <f>'Data Input'!F29</f>
        <v>7633428</v>
      </c>
      <c r="N35" s="84"/>
    </row>
    <row r="36" spans="1:14" ht="15" customHeight="1">
      <c r="A36" s="83"/>
      <c r="E36" s="84"/>
      <c r="G36" s="83"/>
      <c r="H36" t="str">
        <f t="shared" ref="H36:M36" si="1">INDEX(H25:H35,$I$23)</f>
        <v>General Government</v>
      </c>
      <c r="I36">
        <f t="shared" si="1"/>
        <v>2628804</v>
      </c>
      <c r="J36">
        <f t="shared" si="1"/>
        <v>2265969</v>
      </c>
      <c r="K36">
        <f t="shared" si="1"/>
        <v>2588230</v>
      </c>
      <c r="L36">
        <f t="shared" si="1"/>
        <v>1953847</v>
      </c>
      <c r="M36">
        <f t="shared" si="1"/>
        <v>2032262</v>
      </c>
      <c r="N36" s="84"/>
    </row>
    <row r="37" spans="1:14" ht="15" customHeight="1">
      <c r="A37" s="85"/>
      <c r="B37" s="86"/>
      <c r="C37" s="86"/>
      <c r="D37" s="86"/>
      <c r="E37" s="87"/>
      <c r="G37" s="85"/>
      <c r="H37" s="86"/>
      <c r="I37" s="86"/>
      <c r="J37" s="86"/>
      <c r="K37" s="86"/>
      <c r="L37" s="86"/>
      <c r="M37" s="86"/>
      <c r="N37" s="87"/>
    </row>
    <row r="39" spans="1:14" ht="15" customHeight="1">
      <c r="A39" s="144" t="s">
        <v>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</row>
    <row r="40" spans="1:14" ht="15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</row>
    <row r="41" spans="1:14" ht="1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</row>
    <row r="42" spans="1:14" ht="15" customHeight="1">
      <c r="A42" t="str">
        <f>CONCATENATE("For more information on our unit's finances, contact ",'Data Input'!B71," at ",'Data Input'!B72,".")</f>
        <v>For more information on our unit's finances, contact James P. Bonamy, Finance Director at 616 847-4893.</v>
      </c>
    </row>
    <row r="44" spans="1:14" ht="15" customHeight="1">
      <c r="A44" t="s">
        <v>200</v>
      </c>
    </row>
    <row r="45" spans="1:14" ht="15" customHeight="1">
      <c r="A45" s="32" t="s">
        <v>217</v>
      </c>
    </row>
    <row r="46" spans="1:14" ht="15" customHeight="1">
      <c r="A46" s="14" t="s">
        <v>153</v>
      </c>
    </row>
  </sheetData>
  <sheetProtection password="BCFE" sheet="1" formatCells="0" formatColumns="0" formatRows="0" insertColumns="0" insertRows="0" insertHyperlinks="0" deleteColumns="0" deleteRows="0" sort="0" autoFilter="0" pivotTables="0"/>
  <mergeCells count="2">
    <mergeCell ref="A39:N41"/>
    <mergeCell ref="A1:N1"/>
  </mergeCells>
  <printOptions horizontalCentered="1"/>
  <pageMargins left="0.2" right="0.2" top="0.5" bottom="0.5" header="0.25" footer="0.25"/>
  <pageSetup scale="86" orientation="landscape" r:id="rId1"/>
  <headerFooter alignWithMargins="0">
    <oddFooter>&amp;L&amp;"Calibri,Bold"CITIZEN'S GUIDE TO LOCAL UNIT FINANCES&amp;R&amp;"Calibri,Bold"&amp;A -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38" r:id="rId4" name="Drop Down 166">
              <controlPr defaultSize="0" autoLine="0" autoPict="0">
                <anchor moveWithCells="1">
                  <from>
                    <xdr:col>8</xdr:col>
                    <xdr:colOff>1476375</xdr:colOff>
                    <xdr:row>20</xdr:row>
                    <xdr:rowOff>0</xdr:rowOff>
                  </from>
                  <to>
                    <xdr:col>9</xdr:col>
                    <xdr:colOff>1219200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41"/>
  <sheetViews>
    <sheetView zoomScale="85" zoomScaleNormal="85" workbookViewId="0">
      <selection activeCell="P17" sqref="P17"/>
    </sheetView>
  </sheetViews>
  <sheetFormatPr defaultColWidth="13" defaultRowHeight="15" customHeight="1"/>
  <cols>
    <col min="1" max="1" width="13" customWidth="1"/>
    <col min="2" max="3" width="13.75" customWidth="1"/>
    <col min="4" max="4" width="4.125" customWidth="1"/>
    <col min="5" max="5" width="5.75" customWidth="1"/>
    <col min="6" max="6" width="13.75" customWidth="1"/>
    <col min="7" max="7" width="3.625" customWidth="1"/>
    <col min="8" max="9" width="2.875" customWidth="1"/>
    <col min="10" max="10" width="29" customWidth="1"/>
    <col min="11" max="12" width="17.375" customWidth="1"/>
    <col min="13" max="13" width="10.125" customWidth="1"/>
    <col min="14" max="15" width="2.875" customWidth="1"/>
  </cols>
  <sheetData>
    <row r="1" spans="1:15" ht="15" customHeight="1">
      <c r="A1" s="154" t="str">
        <f>'Data Input'!A1:H1</f>
        <v>CITIZENS' GUIDE TO LOCAL UNIT FINANCES - Grand Haven - Ottawa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5" customHeight="1">
      <c r="A2" t="s">
        <v>215</v>
      </c>
      <c r="H2" t="s">
        <v>167</v>
      </c>
    </row>
    <row r="3" spans="1:15" ht="15" customHeight="1">
      <c r="A3" s="80"/>
      <c r="B3" s="81"/>
      <c r="C3" s="81"/>
      <c r="D3" s="81"/>
      <c r="E3" s="81"/>
      <c r="F3" s="82"/>
      <c r="H3" s="80"/>
      <c r="I3" s="81"/>
      <c r="J3" s="81"/>
      <c r="K3" s="81"/>
      <c r="L3" s="81"/>
      <c r="M3" s="81"/>
      <c r="N3" s="81"/>
      <c r="O3" s="82"/>
    </row>
    <row r="4" spans="1:15" ht="19.5" customHeight="1">
      <c r="A4" s="83"/>
      <c r="B4" s="122">
        <f>'Data Input'!B3</f>
        <v>2011</v>
      </c>
      <c r="C4" s="122">
        <f>'Data Input'!C3</f>
        <v>2012</v>
      </c>
      <c r="D4" s="122">
        <f>'Data Input'!D3</f>
        <v>2013</v>
      </c>
      <c r="E4" s="122">
        <f>'Data Input'!E3</f>
        <v>2014</v>
      </c>
      <c r="F4" s="122">
        <f>'Data Input'!F3</f>
        <v>2015</v>
      </c>
      <c r="H4" s="83"/>
      <c r="J4" s="93"/>
      <c r="K4" s="94">
        <f>L4-1</f>
        <v>2014</v>
      </c>
      <c r="L4" s="94">
        <f>IF('Data Input'!F31&lt;&gt;0,'Data Input'!F3,IF('Data Input'!E31&lt;&gt;0,'Data Input'!E3,IF('Data Input'!D31&lt;&gt;0,'Data Input'!D3,'Data Input'!C3)))</f>
        <v>2015</v>
      </c>
      <c r="M4" s="94" t="s">
        <v>12</v>
      </c>
      <c r="O4" s="84"/>
    </row>
    <row r="5" spans="1:15" ht="15" customHeight="1">
      <c r="A5" s="83" t="str">
        <f>'Data Input'!A17</f>
        <v>Total Revenues</v>
      </c>
      <c r="B5" s="84">
        <f>'Data Input'!B17</f>
        <v>18731145</v>
      </c>
      <c r="C5" s="84">
        <f>'Data Input'!C17</f>
        <v>22234869</v>
      </c>
      <c r="D5" s="84">
        <f>'Data Input'!D17</f>
        <v>19524934</v>
      </c>
      <c r="E5" s="84">
        <f>'Data Input'!E17</f>
        <v>21677779</v>
      </c>
      <c r="F5" s="84">
        <f>'Data Input'!F17</f>
        <v>32780491</v>
      </c>
      <c r="H5" s="83"/>
      <c r="J5" s="90" t="str">
        <f>'Data Input'!A5</f>
        <v>Revenues</v>
      </c>
      <c r="K5" s="91">
        <f>+Revenues!J16</f>
        <v>21677779</v>
      </c>
      <c r="L5" s="91">
        <f>+Revenues!K16</f>
        <v>32780491</v>
      </c>
      <c r="M5" s="92">
        <f>IF(K5=0,"N/A",(L5-K5)/K5)</f>
        <v>0.51217018127179914</v>
      </c>
      <c r="O5" s="84"/>
    </row>
    <row r="6" spans="1:15" ht="15.75" customHeight="1">
      <c r="A6" s="83" t="str">
        <f>'Data Input'!A30</f>
        <v>Total Expenditures</v>
      </c>
      <c r="B6" s="84">
        <f>'Data Input'!B30</f>
        <v>17448165</v>
      </c>
      <c r="C6" s="84">
        <f>'Data Input'!C30</f>
        <v>22537539</v>
      </c>
      <c r="D6" s="84">
        <f>'Data Input'!D30</f>
        <v>19347696</v>
      </c>
      <c r="E6" s="84">
        <f>'Data Input'!E30</f>
        <v>22936081</v>
      </c>
      <c r="F6" s="84">
        <f>'Data Input'!F30</f>
        <v>22672965</v>
      </c>
      <c r="H6" s="83"/>
      <c r="J6" s="90" t="str">
        <f>'Data Input'!A18</f>
        <v>Expenditures</v>
      </c>
      <c r="K6" s="91">
        <f>+Expenditures!J16</f>
        <v>22936081</v>
      </c>
      <c r="L6" s="91">
        <f>+Expenditures!K16</f>
        <v>22672965</v>
      </c>
      <c r="M6" s="92">
        <f>IF(K6=0,"N/A",(L6-K6)/K6)</f>
        <v>-1.1471706958132908E-2</v>
      </c>
      <c r="O6" s="84"/>
    </row>
    <row r="7" spans="1:15" ht="15.75" customHeight="1">
      <c r="A7" s="83" t="str">
        <f>'Data Input'!A38</f>
        <v>Total Fund Balance</v>
      </c>
      <c r="B7" s="84">
        <f>'Data Input'!B38</f>
        <v>15316504</v>
      </c>
      <c r="C7" s="84">
        <f>'Data Input'!C38</f>
        <v>14613685</v>
      </c>
      <c r="D7" s="84">
        <f>'Data Input'!D38</f>
        <v>14791024</v>
      </c>
      <c r="E7" s="84">
        <f>'Data Input'!E38</f>
        <v>13532723</v>
      </c>
      <c r="F7" s="84">
        <f>'Data Input'!F38</f>
        <v>24140267</v>
      </c>
      <c r="H7" s="83"/>
      <c r="J7" s="95" t="str">
        <f>'Data Input'!A31</f>
        <v>Surplus (Shortfall)</v>
      </c>
      <c r="K7" s="91">
        <f>+K5-K6</f>
        <v>-1258302</v>
      </c>
      <c r="L7" s="91">
        <f>+L5-L6</f>
        <v>10107526</v>
      </c>
      <c r="M7" s="92">
        <f>IF(K7=0,"N/A",(L7-K7)/K7)</f>
        <v>-9.0326710122053377</v>
      </c>
      <c r="O7" s="84"/>
    </row>
    <row r="8" spans="1:15" ht="15" customHeight="1">
      <c r="A8" s="83"/>
      <c r="F8" s="84"/>
      <c r="H8" s="83"/>
      <c r="O8" s="84"/>
    </row>
    <row r="9" spans="1:15" ht="19.5" customHeight="1">
      <c r="A9" s="83"/>
      <c r="F9" s="84"/>
      <c r="H9" s="83"/>
      <c r="J9" s="93" t="s">
        <v>85</v>
      </c>
      <c r="K9" s="94">
        <f>L9-1</f>
        <v>2014</v>
      </c>
      <c r="L9" s="94">
        <f>IF('Data Input'!F38&lt;&gt;0,'Data Input'!F3,IF('Data Input'!E38&lt;&gt;0,'Data Input'!E3,IF('Data Input'!D38&lt;&gt;0,'Data Input'!D3,'Data Input'!C3)))</f>
        <v>2015</v>
      </c>
      <c r="M9" s="94" t="s">
        <v>12</v>
      </c>
      <c r="O9" s="84"/>
    </row>
    <row r="10" spans="1:15" ht="15" customHeight="1">
      <c r="A10" s="83"/>
      <c r="F10" s="84"/>
      <c r="H10" s="83"/>
      <c r="J10" s="90" t="str">
        <f>'Data Input'!A33</f>
        <v>Nonspendable</v>
      </c>
      <c r="K10" s="91">
        <f>+'F-65 Cross-walk'!G130</f>
        <v>1802415</v>
      </c>
      <c r="L10" s="91">
        <f>+'F-65 Cross-walk'!H130</f>
        <v>1813294</v>
      </c>
      <c r="M10" s="92">
        <f t="shared" ref="M10:M15" si="0">IF(K10=0,"N/A",(L10-K10)/K10)</f>
        <v>6.0357908694723466E-3</v>
      </c>
      <c r="O10" s="84"/>
    </row>
    <row r="11" spans="1:15" ht="15" customHeight="1">
      <c r="A11" s="83"/>
      <c r="F11" s="84"/>
      <c r="H11" s="83"/>
      <c r="J11" s="90" t="str">
        <f>'Data Input'!A34</f>
        <v>Restricted</v>
      </c>
      <c r="K11" s="91">
        <f>+'F-65 Cross-walk'!G131</f>
        <v>2997948</v>
      </c>
      <c r="L11" s="91">
        <f>+'F-65 Cross-walk'!H131</f>
        <v>13136342</v>
      </c>
      <c r="M11" s="92">
        <f t="shared" si="0"/>
        <v>3.3817778026837022</v>
      </c>
      <c r="O11" s="84"/>
    </row>
    <row r="12" spans="1:15" ht="15" customHeight="1">
      <c r="A12" s="83"/>
      <c r="F12" s="84"/>
      <c r="H12" s="83"/>
      <c r="J12" s="90" t="str">
        <f>'Data Input'!A35</f>
        <v>Committed</v>
      </c>
      <c r="K12" s="91">
        <f>+'F-65 Cross-walk'!G132</f>
        <v>5675094</v>
      </c>
      <c r="L12" s="91">
        <f>+'F-65 Cross-walk'!H132</f>
        <v>6060579</v>
      </c>
      <c r="M12" s="92">
        <f t="shared" si="0"/>
        <v>6.7925747132999037E-2</v>
      </c>
      <c r="O12" s="84"/>
    </row>
    <row r="13" spans="1:15" ht="15.75" customHeight="1">
      <c r="A13" s="83"/>
      <c r="F13" s="84"/>
      <c r="H13" s="83"/>
      <c r="J13" s="90" t="str">
        <f>'Data Input'!A36</f>
        <v>Assigned</v>
      </c>
      <c r="K13" s="91">
        <f>+'F-65 Cross-walk'!G133</f>
        <v>127903</v>
      </c>
      <c r="L13" s="91">
        <f>+'F-65 Cross-walk'!H133</f>
        <v>0</v>
      </c>
      <c r="M13" s="92">
        <f t="shared" si="0"/>
        <v>-1</v>
      </c>
      <c r="O13" s="84"/>
    </row>
    <row r="14" spans="1:15" ht="15.75" customHeight="1">
      <c r="A14" s="83"/>
      <c r="F14" s="84"/>
      <c r="H14" s="83"/>
      <c r="J14" s="90" t="str">
        <f>'Data Input'!A37</f>
        <v>Unassigned</v>
      </c>
      <c r="K14" s="91">
        <f>+'F-65 Cross-walk'!G134</f>
        <v>2929363</v>
      </c>
      <c r="L14" s="91">
        <f>+'F-65 Cross-walk'!H134</f>
        <v>3130052</v>
      </c>
      <c r="M14" s="92">
        <f t="shared" si="0"/>
        <v>6.8509433620893012E-2</v>
      </c>
      <c r="O14" s="84"/>
    </row>
    <row r="15" spans="1:15" ht="15" customHeight="1">
      <c r="A15" s="83"/>
      <c r="F15" s="84"/>
      <c r="H15" s="83"/>
      <c r="J15" s="95" t="str">
        <f>'Data Input'!A38</f>
        <v>Total Fund Balance</v>
      </c>
      <c r="K15" s="91">
        <f>SUM(K10:K14)</f>
        <v>13532723</v>
      </c>
      <c r="L15" s="91">
        <f>SUM(L10:L14)</f>
        <v>24140267</v>
      </c>
      <c r="M15" s="92">
        <f t="shared" si="0"/>
        <v>0.78384402015765786</v>
      </c>
      <c r="O15" s="84"/>
    </row>
    <row r="16" spans="1:15" ht="15" customHeight="1">
      <c r="A16" s="83"/>
      <c r="F16" s="84"/>
      <c r="H16" s="83"/>
      <c r="O16" s="84"/>
    </row>
    <row r="17" spans="1:19" ht="15" customHeight="1">
      <c r="A17" s="85"/>
      <c r="B17" s="86"/>
      <c r="C17" s="86"/>
      <c r="D17" s="86"/>
      <c r="E17" s="86"/>
      <c r="F17" s="87"/>
      <c r="H17" s="85"/>
      <c r="I17" s="86"/>
      <c r="J17" s="86"/>
      <c r="K17" s="86"/>
      <c r="L17" s="86"/>
      <c r="M17" s="86"/>
      <c r="N17" s="86"/>
      <c r="O17" s="87"/>
    </row>
    <row r="18" spans="1:19" ht="15" customHeight="1">
      <c r="A18" t="s">
        <v>202</v>
      </c>
      <c r="H18" t="s">
        <v>29</v>
      </c>
    </row>
    <row r="19" spans="1:19" ht="15" customHeight="1">
      <c r="A19" s="80"/>
      <c r="B19" s="81"/>
      <c r="C19" s="81"/>
      <c r="D19" s="81"/>
      <c r="E19" s="81"/>
      <c r="F19" s="82"/>
      <c r="H19" s="80"/>
      <c r="I19" s="81"/>
      <c r="J19" s="96">
        <f>'Data Input'!B3</f>
        <v>2011</v>
      </c>
      <c r="K19" s="96">
        <f>'Data Input'!C3</f>
        <v>2012</v>
      </c>
      <c r="L19" s="96">
        <f>'Data Input'!D3</f>
        <v>2013</v>
      </c>
      <c r="M19" s="96">
        <f>'Data Input'!E3</f>
        <v>2014</v>
      </c>
      <c r="N19" s="96">
        <f>'Data Input'!F3</f>
        <v>2015</v>
      </c>
      <c r="O19" s="82"/>
    </row>
    <row r="20" spans="1:19" ht="15" customHeight="1">
      <c r="A20" s="83"/>
      <c r="C20" s="78"/>
      <c r="D20" s="78"/>
      <c r="F20" s="84"/>
      <c r="H20" s="83"/>
      <c r="I20" t="str">
        <f>'Data Input'!A33</f>
        <v>Nonspendable</v>
      </c>
      <c r="J20">
        <f>'Data Input'!B33</f>
        <v>1720980</v>
      </c>
      <c r="K20">
        <f>'Data Input'!C33</f>
        <v>1747635</v>
      </c>
      <c r="L20">
        <f>'Data Input'!D33</f>
        <v>1769738</v>
      </c>
      <c r="M20">
        <f>'Data Input'!E33</f>
        <v>1802415</v>
      </c>
      <c r="N20">
        <f>'Data Input'!F33</f>
        <v>1813294</v>
      </c>
      <c r="O20" s="84"/>
    </row>
    <row r="21" spans="1:19" ht="15" customHeight="1">
      <c r="A21" s="83"/>
      <c r="F21" s="84"/>
      <c r="H21" s="83"/>
      <c r="I21" t="str">
        <f>'Data Input'!A34</f>
        <v>Restricted</v>
      </c>
      <c r="J21">
        <f>'Data Input'!B34</f>
        <v>7673058</v>
      </c>
      <c r="K21">
        <f>'Data Input'!C34</f>
        <v>6433381</v>
      </c>
      <c r="L21">
        <f>'Data Input'!D34</f>
        <v>5610884</v>
      </c>
      <c r="M21">
        <f>'Data Input'!E34</f>
        <v>2997948</v>
      </c>
      <c r="N21">
        <f>'Data Input'!F34</f>
        <v>13136342</v>
      </c>
      <c r="O21" s="84"/>
      <c r="S21" t="s">
        <v>25</v>
      </c>
    </row>
    <row r="22" spans="1:19" ht="15" customHeight="1">
      <c r="A22" s="83"/>
      <c r="F22" s="84"/>
      <c r="H22" s="83"/>
      <c r="I22" t="str">
        <f>'Data Input'!A35</f>
        <v>Committed</v>
      </c>
      <c r="J22">
        <f>'Data Input'!B35</f>
        <v>2407427</v>
      </c>
      <c r="K22">
        <f>'Data Input'!C35</f>
        <v>2133864</v>
      </c>
      <c r="L22">
        <f>'Data Input'!D35</f>
        <v>3595207</v>
      </c>
      <c r="M22">
        <f>'Data Input'!E35</f>
        <v>5675094</v>
      </c>
      <c r="N22">
        <f>'Data Input'!F35</f>
        <v>6060579</v>
      </c>
      <c r="O22" s="84"/>
    </row>
    <row r="23" spans="1:19" ht="15" customHeight="1">
      <c r="A23" s="83"/>
      <c r="F23" s="84"/>
      <c r="H23" s="83"/>
      <c r="I23" t="str">
        <f>'Data Input'!A36</f>
        <v>Assigned</v>
      </c>
      <c r="J23">
        <f>'Data Input'!B36</f>
        <v>0</v>
      </c>
      <c r="K23">
        <f>'Data Input'!C36</f>
        <v>0</v>
      </c>
      <c r="L23">
        <f>'Data Input'!D36</f>
        <v>0</v>
      </c>
      <c r="M23">
        <f>'Data Input'!E36</f>
        <v>127903</v>
      </c>
      <c r="N23">
        <f>'Data Input'!F36</f>
        <v>0</v>
      </c>
      <c r="O23" s="84"/>
    </row>
    <row r="24" spans="1:19" ht="15" customHeight="1">
      <c r="A24" s="83"/>
      <c r="F24" s="84"/>
      <c r="H24" s="83"/>
      <c r="I24" t="str">
        <f>'Data Input'!A37</f>
        <v>Unassigned</v>
      </c>
      <c r="J24">
        <f>'Data Input'!B37</f>
        <v>3515039</v>
      </c>
      <c r="K24">
        <f>'Data Input'!C37</f>
        <v>4298805</v>
      </c>
      <c r="L24">
        <f>'Data Input'!D37</f>
        <v>3815195</v>
      </c>
      <c r="M24">
        <f>'Data Input'!E37</f>
        <v>2929363</v>
      </c>
      <c r="N24">
        <f>'Data Input'!F37</f>
        <v>3130052</v>
      </c>
      <c r="O24" s="84"/>
    </row>
    <row r="25" spans="1:19" ht="15" customHeight="1">
      <c r="A25" s="83"/>
      <c r="F25" s="84"/>
      <c r="H25" s="83"/>
      <c r="O25" s="84"/>
    </row>
    <row r="26" spans="1:19" ht="15" customHeight="1">
      <c r="A26" s="83"/>
      <c r="F26" s="84"/>
      <c r="H26" s="83"/>
      <c r="O26" s="84"/>
    </row>
    <row r="27" spans="1:19" ht="15" customHeight="1">
      <c r="A27" s="83"/>
      <c r="F27" s="84"/>
      <c r="H27" s="83"/>
      <c r="O27" s="84"/>
    </row>
    <row r="28" spans="1:19" ht="15" customHeight="1">
      <c r="A28" s="83"/>
      <c r="F28" s="84"/>
      <c r="H28" s="83"/>
      <c r="O28" s="84"/>
    </row>
    <row r="29" spans="1:19" ht="15" customHeight="1">
      <c r="A29" s="83"/>
      <c r="F29" s="84"/>
      <c r="H29" s="83"/>
      <c r="O29" s="84"/>
    </row>
    <row r="30" spans="1:19" ht="15" customHeight="1">
      <c r="A30" s="83"/>
      <c r="F30" s="84"/>
      <c r="H30" s="83"/>
      <c r="O30" s="84"/>
    </row>
    <row r="31" spans="1:19" ht="15" customHeight="1">
      <c r="A31" s="83"/>
      <c r="F31" s="84"/>
      <c r="H31" s="83"/>
      <c r="O31" s="84"/>
    </row>
    <row r="32" spans="1:19" ht="15" customHeight="1">
      <c r="A32" s="83"/>
      <c r="F32" s="84"/>
      <c r="H32" s="83"/>
      <c r="O32" s="84"/>
    </row>
    <row r="33" spans="1:21" ht="15" customHeight="1">
      <c r="A33" s="85"/>
      <c r="B33" s="86"/>
      <c r="C33" s="86"/>
      <c r="D33" s="86"/>
      <c r="E33" s="86"/>
      <c r="F33" s="87"/>
      <c r="H33" s="85"/>
      <c r="I33" s="86"/>
      <c r="J33" s="86"/>
      <c r="K33" s="86"/>
      <c r="L33" s="86"/>
      <c r="M33" s="86"/>
      <c r="N33" s="86"/>
      <c r="O33" s="87"/>
    </row>
    <row r="35" spans="1:21" ht="19.5" customHeight="1">
      <c r="A35" s="155" t="s">
        <v>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7"/>
      <c r="P35" s="13"/>
      <c r="Q35" s="13"/>
      <c r="R35" s="13"/>
      <c r="S35" s="13"/>
      <c r="T35" s="13"/>
      <c r="U35" s="13"/>
    </row>
    <row r="36" spans="1:21" ht="19.5" customHeight="1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3"/>
      <c r="Q36" s="13"/>
      <c r="R36" s="13"/>
      <c r="S36" s="13"/>
      <c r="T36" s="13"/>
      <c r="U36" s="13"/>
    </row>
    <row r="37" spans="1:21" ht="19.5" customHeight="1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13"/>
      <c r="Q37" s="13"/>
      <c r="R37" s="13"/>
      <c r="S37" s="13"/>
      <c r="T37" s="13"/>
      <c r="U37" s="13"/>
    </row>
    <row r="38" spans="1:21" ht="15" customHeight="1">
      <c r="A38" t="str">
        <f>CONCATENATE("For more information on our unit's finances, contact ",'Data Input'!B71," at ",'Data Input'!B72,".")</f>
        <v>For more information on our unit's finances, contact James P. Bonamy, Finance Director at 616 847-4893.</v>
      </c>
    </row>
    <row r="40" spans="1:21" ht="15" customHeight="1">
      <c r="A40" t="s">
        <v>200</v>
      </c>
    </row>
    <row r="41" spans="1:21" ht="15" customHeight="1">
      <c r="A41" s="32" t="s">
        <v>217</v>
      </c>
    </row>
  </sheetData>
  <sheetProtection password="BCFE" sheet="1" formatCells="0" formatColumns="0" formatRows="0" insertColumns="0" insertRows="0" insertHyperlinks="0" deleteColumns="0" deleteRows="0" sort="0" autoFilter="0" pivotTables="0"/>
  <mergeCells count="2">
    <mergeCell ref="A1:O1"/>
    <mergeCell ref="A35:O37"/>
  </mergeCells>
  <printOptions horizontalCentered="1"/>
  <pageMargins left="0.2" right="0.2" top="0.5" bottom="0.5" header="0.25" footer="0.25"/>
  <pageSetup scale="88" orientation="landscape" r:id="rId1"/>
  <headerFooter alignWithMargins="0">
    <oddFooter>&amp;L&amp;"Calibri,Bold"CITIZEN'S GUIDE TO LOCAL UNIT FINANCES&amp;R&amp;"Calibri,Bold"&amp;A -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1"/>
  <sheetViews>
    <sheetView zoomScale="85" zoomScaleNormal="85" workbookViewId="0">
      <selection activeCell="AA25" sqref="AA25"/>
    </sheetView>
  </sheetViews>
  <sheetFormatPr defaultRowHeight="15" customHeight="1"/>
  <cols>
    <col min="1" max="1" width="9.125" customWidth="1"/>
    <col min="2" max="2" width="9" customWidth="1"/>
    <col min="3" max="6" width="2.875" customWidth="1"/>
    <col min="7" max="7" width="4.875" customWidth="1"/>
    <col min="8" max="8" width="9" customWidth="1"/>
    <col min="9" max="9" width="2.375" customWidth="1"/>
    <col min="10" max="12" width="9" customWidth="1"/>
    <col min="13" max="16" width="2.875" customWidth="1"/>
    <col min="17" max="17" width="5.125" customWidth="1"/>
    <col min="18" max="18" width="8.625" customWidth="1"/>
    <col min="19" max="19" width="12.875" customWidth="1"/>
    <col min="20" max="20" width="10.375" customWidth="1"/>
    <col min="21" max="21" width="10.875" customWidth="1"/>
    <col min="22" max="22" width="15.125" customWidth="1"/>
    <col min="23" max="23" width="15" customWidth="1"/>
  </cols>
  <sheetData>
    <row r="1" spans="1:23" ht="15" customHeight="1">
      <c r="A1" s="154" t="str">
        <f>'Data Input'!A1:H1</f>
        <v>CITIZENS' GUIDE TO LOCAL UNIT FINANCES - Grand Haven - Ottawa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16.5" customHeight="1">
      <c r="A2" t="s">
        <v>129</v>
      </c>
      <c r="I2" s="2" t="s">
        <v>144</v>
      </c>
      <c r="Q2" s="3"/>
      <c r="S2" t="s">
        <v>89</v>
      </c>
    </row>
    <row r="3" spans="1:23" ht="16.5" customHeight="1">
      <c r="A3" s="80"/>
      <c r="B3" s="81"/>
      <c r="C3" s="81"/>
      <c r="D3" s="81"/>
      <c r="E3" s="81"/>
      <c r="F3" s="81"/>
      <c r="G3" s="81"/>
      <c r="H3" s="82"/>
      <c r="J3" s="80"/>
      <c r="K3" s="81"/>
      <c r="L3" s="81"/>
      <c r="M3" s="81"/>
      <c r="N3" s="81"/>
      <c r="O3" s="81"/>
      <c r="P3" s="81"/>
      <c r="Q3" s="82"/>
      <c r="S3" s="80"/>
      <c r="T3" s="81"/>
      <c r="U3" s="81"/>
      <c r="V3" s="81"/>
      <c r="W3" s="82"/>
    </row>
    <row r="4" spans="1:23" ht="16.5" customHeight="1">
      <c r="A4" s="83"/>
      <c r="C4" s="78">
        <f>'Data Input'!B3</f>
        <v>2011</v>
      </c>
      <c r="D4" s="78">
        <f>'Data Input'!C3</f>
        <v>2012</v>
      </c>
      <c r="E4" s="78">
        <f>'Data Input'!D3</f>
        <v>2013</v>
      </c>
      <c r="F4" s="78">
        <f>'Data Input'!E3</f>
        <v>2014</v>
      </c>
      <c r="G4" s="78">
        <f>'Data Input'!F3</f>
        <v>2015</v>
      </c>
      <c r="H4" s="84"/>
      <c r="J4" s="83"/>
      <c r="L4" s="78">
        <f>'Data Input'!B3</f>
        <v>2011</v>
      </c>
      <c r="M4" s="78">
        <f>'Data Input'!C3</f>
        <v>2012</v>
      </c>
      <c r="N4" s="78">
        <f>'Data Input'!D3</f>
        <v>2013</v>
      </c>
      <c r="O4" s="78">
        <f>'Data Input'!E3</f>
        <v>2014</v>
      </c>
      <c r="P4" s="78">
        <f>'Data Input'!F3</f>
        <v>2015</v>
      </c>
      <c r="Q4" s="84"/>
      <c r="S4" s="83"/>
      <c r="U4" s="110">
        <f>LARGE('Data Input'!B41:F41,2)</f>
        <v>41639</v>
      </c>
      <c r="V4" s="110">
        <f>LARGE('Data Input'!B41:F41,1)</f>
        <v>42004</v>
      </c>
      <c r="W4" s="84"/>
    </row>
    <row r="5" spans="1:23" ht="16.5" customHeight="1">
      <c r="A5" s="83"/>
      <c r="B5" t="str">
        <f>'Data Input'!A42</f>
        <v>Assets</v>
      </c>
      <c r="C5">
        <f>'Data Input'!B42</f>
        <v>69335021</v>
      </c>
      <c r="D5">
        <f>'Data Input'!C42</f>
        <v>70892326</v>
      </c>
      <c r="E5">
        <f>'Data Input'!D42</f>
        <v>72056110</v>
      </c>
      <c r="F5">
        <f>'Data Input'!E42</f>
        <v>74175758</v>
      </c>
      <c r="G5">
        <f>'Data Input'!F42</f>
        <v>76108785</v>
      </c>
      <c r="H5" s="84"/>
      <c r="J5" s="83"/>
      <c r="K5" t="str">
        <f>'Data Input'!A48</f>
        <v>Assets</v>
      </c>
      <c r="L5">
        <f>'Data Input'!B48</f>
        <v>600000</v>
      </c>
      <c r="M5">
        <f>'Data Input'!C48</f>
        <v>1069115</v>
      </c>
      <c r="N5">
        <f>'Data Input'!D48</f>
        <v>1069115</v>
      </c>
      <c r="O5">
        <f>'Data Input'!E48</f>
        <v>1414043</v>
      </c>
      <c r="P5">
        <f>'Data Input'!F48</f>
        <v>1414043</v>
      </c>
      <c r="Q5" s="84"/>
      <c r="S5" s="83"/>
      <c r="T5" t="str">
        <f>'Data Input'!A40</f>
        <v>Pensions</v>
      </c>
      <c r="U5" s="111">
        <f>HLOOKUP(U4,'Data Input'!B41:F56,5)</f>
        <v>0.86843935602136213</v>
      </c>
      <c r="V5" s="111">
        <f>HLOOKUP(V4,'Data Input'!B41:F56,5)</f>
        <v>0.83402486761931416</v>
      </c>
      <c r="W5" s="84"/>
    </row>
    <row r="6" spans="1:23" ht="16.5" customHeight="1">
      <c r="A6" s="83"/>
      <c r="B6" t="str">
        <f>'Data Input'!A43</f>
        <v>Actuarial Liability</v>
      </c>
      <c r="C6">
        <f>'Data Input'!B43</f>
        <v>71054027</v>
      </c>
      <c r="D6">
        <f>'Data Input'!C43</f>
        <v>76731636</v>
      </c>
      <c r="E6">
        <f>'Data Input'!D43</f>
        <v>80585059</v>
      </c>
      <c r="F6">
        <f>'Data Input'!E43</f>
        <v>85412709</v>
      </c>
      <c r="G6">
        <f>'Data Input'!F43</f>
        <v>91254815</v>
      </c>
      <c r="H6" s="84"/>
      <c r="J6" s="83"/>
      <c r="K6" t="str">
        <f>'Data Input'!A49</f>
        <v>Actuarial Liability</v>
      </c>
      <c r="L6">
        <f>'Data Input'!B49</f>
        <v>5242414</v>
      </c>
      <c r="M6">
        <f>'Data Input'!C49</f>
        <v>5293565</v>
      </c>
      <c r="N6">
        <f>'Data Input'!D49</f>
        <v>5293565</v>
      </c>
      <c r="O6">
        <f>'Data Input'!E49</f>
        <v>5984348</v>
      </c>
      <c r="P6">
        <f>'Data Input'!F49</f>
        <v>5984348</v>
      </c>
      <c r="Q6" s="84"/>
      <c r="S6" s="83"/>
      <c r="T6" t="str">
        <f>'Data Input'!A46</f>
        <v>OPEB</v>
      </c>
      <c r="U6" s="111">
        <f>HLOOKUP(U4,'Data Input'!B41:F56,11)</f>
        <v>0.23629023579511085</v>
      </c>
      <c r="V6" s="111">
        <f>HLOOKUP(V4,'Data Input'!B41:F56,11)</f>
        <v>0.23629023579511085</v>
      </c>
      <c r="W6" s="84"/>
    </row>
    <row r="7" spans="1:23" ht="16.5" customHeight="1">
      <c r="A7" s="83"/>
      <c r="H7" s="84"/>
      <c r="J7" s="83"/>
      <c r="Q7" s="84"/>
      <c r="S7" s="83"/>
      <c r="T7" t="str">
        <f>'Data Input'!A52</f>
        <v>Sum of All Pension &amp; OPEB Plans</v>
      </c>
      <c r="U7" s="111">
        <f>HLOOKUP(U4,'Data Input'!B41:F56,16)</f>
        <v>0.82704852301754095</v>
      </c>
      <c r="V7" s="111">
        <f>HLOOKUP(V4,'Data Input'!B41:F56,16)</f>
        <v>0.79723874217222546</v>
      </c>
      <c r="W7" s="84"/>
    </row>
    <row r="8" spans="1:23" ht="16.5" customHeight="1">
      <c r="A8" s="83"/>
      <c r="H8" s="84"/>
      <c r="J8" s="83"/>
      <c r="Q8" s="84"/>
      <c r="S8" s="83"/>
      <c r="W8" s="84"/>
    </row>
    <row r="9" spans="1:23" ht="16.5" customHeight="1">
      <c r="A9" s="83"/>
      <c r="H9" s="84"/>
      <c r="J9" s="83"/>
      <c r="Q9" s="84"/>
      <c r="S9" s="83"/>
      <c r="W9" s="84"/>
    </row>
    <row r="10" spans="1:23" ht="16.5" customHeight="1">
      <c r="A10" s="83"/>
      <c r="H10" s="84"/>
      <c r="J10" s="83"/>
      <c r="Q10" s="84"/>
      <c r="S10" s="83"/>
      <c r="W10" s="84"/>
    </row>
    <row r="11" spans="1:23" ht="16.5" customHeight="1">
      <c r="A11" s="83"/>
      <c r="H11" s="84"/>
      <c r="J11" s="83"/>
      <c r="Q11" s="84"/>
      <c r="S11" s="83"/>
      <c r="W11" s="84"/>
    </row>
    <row r="12" spans="1:23" ht="16.5" customHeight="1">
      <c r="A12" s="83"/>
      <c r="H12" s="84"/>
      <c r="J12" s="83"/>
      <c r="Q12" s="84"/>
      <c r="S12" s="83"/>
      <c r="W12" s="84"/>
    </row>
    <row r="13" spans="1:23" ht="16.5" customHeight="1">
      <c r="A13" s="83"/>
      <c r="H13" s="84"/>
      <c r="J13" s="83"/>
      <c r="Q13" s="84"/>
      <c r="S13" s="83"/>
      <c r="W13" s="84"/>
    </row>
    <row r="14" spans="1:23" ht="16.5" customHeight="1">
      <c r="A14" s="83"/>
      <c r="H14" s="84"/>
      <c r="J14" s="83"/>
      <c r="Q14" s="84"/>
      <c r="S14" s="83"/>
      <c r="W14" s="84"/>
    </row>
    <row r="15" spans="1:23" ht="16.5" customHeight="1">
      <c r="A15" s="83"/>
      <c r="H15" s="84"/>
      <c r="J15" s="83"/>
      <c r="Q15" s="84"/>
      <c r="S15" s="83"/>
      <c r="W15" s="84"/>
    </row>
    <row r="16" spans="1:23" ht="16.5" customHeight="1">
      <c r="A16" s="83"/>
      <c r="H16" s="84"/>
      <c r="J16" s="83"/>
      <c r="Q16" s="84"/>
      <c r="S16" s="83"/>
      <c r="W16" s="84"/>
    </row>
    <row r="17" spans="1:23" ht="16.5" customHeight="1">
      <c r="A17" s="85"/>
      <c r="B17" s="86"/>
      <c r="C17" s="86"/>
      <c r="D17" s="86"/>
      <c r="E17" s="86"/>
      <c r="F17" s="86"/>
      <c r="G17" s="86"/>
      <c r="H17" s="87"/>
      <c r="J17" s="85"/>
      <c r="K17" s="86"/>
      <c r="L17" s="86"/>
      <c r="M17" s="86"/>
      <c r="N17" s="86"/>
      <c r="O17" s="86"/>
      <c r="P17" s="86"/>
      <c r="Q17" s="87"/>
      <c r="S17" s="85"/>
      <c r="T17" s="86"/>
      <c r="U17" s="86"/>
      <c r="V17" s="86"/>
      <c r="W17" s="87"/>
    </row>
    <row r="18" spans="1:23" ht="16.5" customHeight="1">
      <c r="A18" t="s">
        <v>187</v>
      </c>
      <c r="O18" s="1"/>
      <c r="P18" t="s">
        <v>128</v>
      </c>
    </row>
    <row r="19" spans="1:23" ht="16.5" customHeigh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P19" s="80"/>
      <c r="Q19" s="81"/>
      <c r="R19" s="81"/>
      <c r="S19" s="81"/>
      <c r="T19" s="81"/>
      <c r="U19" s="81"/>
      <c r="V19" s="81"/>
      <c r="W19" s="82"/>
    </row>
    <row r="20" spans="1:23" ht="16.5" customHeight="1">
      <c r="A20" s="83"/>
      <c r="C20" s="78">
        <f>'Data Input'!B3</f>
        <v>2011</v>
      </c>
      <c r="D20" s="78">
        <f>'Data Input'!C3</f>
        <v>2012</v>
      </c>
      <c r="E20" s="78">
        <f>'Data Input'!D3</f>
        <v>2013</v>
      </c>
      <c r="F20" s="78">
        <f>'Data Input'!E3</f>
        <v>2014</v>
      </c>
      <c r="G20" s="78">
        <f>'Data Input'!F3</f>
        <v>2015</v>
      </c>
      <c r="N20" s="84"/>
      <c r="P20" s="83"/>
      <c r="R20" s="78">
        <f>'Data Input'!G3</f>
        <v>2014</v>
      </c>
      <c r="S20" s="78">
        <f>'Data Input'!H3</f>
        <v>2015</v>
      </c>
      <c r="W20" s="84"/>
    </row>
    <row r="21" spans="1:23" ht="16.5" customHeight="1">
      <c r="A21" s="83"/>
      <c r="B21" t="str">
        <f>'Data Input'!A58</f>
        <v>Bonds &amp; Contracts Payable</v>
      </c>
      <c r="C21">
        <f>'Data Input'!B58</f>
        <v>10395000</v>
      </c>
      <c r="D21">
        <f>'Data Input'!C58</f>
        <v>9805000</v>
      </c>
      <c r="E21">
        <f>'Data Input'!D58</f>
        <v>9140000</v>
      </c>
      <c r="F21">
        <f>'Data Input'!E58</f>
        <v>8435000</v>
      </c>
      <c r="G21">
        <f>'Data Input'!F58</f>
        <v>18740000</v>
      </c>
      <c r="N21" s="84"/>
      <c r="P21" s="83"/>
      <c r="Q21" t="str">
        <f>'Data Input'!A58</f>
        <v>Bonds &amp; Contracts Payable</v>
      </c>
      <c r="R21">
        <f>'Data Input'!G58</f>
        <v>769.26584587323305</v>
      </c>
      <c r="S21">
        <f>'Data Input'!H58</f>
        <v>1709.0743274053807</v>
      </c>
      <c r="W21" s="84"/>
    </row>
    <row r="22" spans="1:23" ht="16.5" customHeight="1">
      <c r="A22" s="83"/>
      <c r="B22" t="str">
        <f>'Data Input'!A59</f>
        <v>Capital Leases</v>
      </c>
      <c r="C22">
        <f>'Data Input'!B59</f>
        <v>1134626</v>
      </c>
      <c r="D22">
        <f>'Data Input'!C59</f>
        <v>1134626</v>
      </c>
      <c r="E22">
        <f>'Data Input'!D59</f>
        <v>1134626</v>
      </c>
      <c r="F22">
        <f>'Data Input'!E59</f>
        <v>1116391</v>
      </c>
      <c r="G22">
        <f>'Data Input'!F59</f>
        <v>1096130</v>
      </c>
      <c r="N22" s="84"/>
      <c r="P22" s="83"/>
      <c r="Q22" t="str">
        <f>'Data Input'!A59</f>
        <v>Capital Leases</v>
      </c>
      <c r="R22">
        <f>'Data Input'!G59</f>
        <v>101.81404468764249</v>
      </c>
      <c r="S22">
        <f>'Data Input'!H59</f>
        <v>99.966256269949838</v>
      </c>
      <c r="W22" s="84"/>
    </row>
    <row r="23" spans="1:23" ht="16.5" customHeight="1">
      <c r="A23" s="83"/>
      <c r="B23" t="str">
        <f>'Data Input'!A60</f>
        <v>Other Contractual Debt</v>
      </c>
      <c r="C23">
        <f>'Data Input'!B60</f>
        <v>40000</v>
      </c>
      <c r="D23">
        <f>'Data Input'!C60</f>
        <v>35000</v>
      </c>
      <c r="E23">
        <f>'Data Input'!D60</f>
        <v>30000</v>
      </c>
      <c r="F23">
        <f>'Data Input'!E60</f>
        <v>20000</v>
      </c>
      <c r="G23">
        <f>'Data Input'!F60</f>
        <v>10000</v>
      </c>
      <c r="N23" s="84"/>
      <c r="P23" s="83"/>
      <c r="Q23" t="str">
        <f>'Data Input'!A60</f>
        <v>Other Contractual Debt</v>
      </c>
      <c r="R23">
        <f>'Data Input'!G60</f>
        <v>1.823985408116735</v>
      </c>
      <c r="S23">
        <f>'Data Input'!H60</f>
        <v>0.91199270405836752</v>
      </c>
      <c r="W23" s="84"/>
    </row>
    <row r="24" spans="1:23" ht="16.5" customHeight="1">
      <c r="A24" s="83"/>
      <c r="B24" t="str">
        <f>'Data Input'!A62</f>
        <v>Employee Compensated Absences</v>
      </c>
      <c r="C24">
        <f>'Data Input'!B62</f>
        <v>955125</v>
      </c>
      <c r="D24">
        <f>'Data Input'!C62</f>
        <v>1027047</v>
      </c>
      <c r="E24">
        <f>'Data Input'!D62</f>
        <v>1063876</v>
      </c>
      <c r="F24">
        <f>'Data Input'!E62</f>
        <v>935600</v>
      </c>
      <c r="G24">
        <f>'Data Input'!F62</f>
        <v>908375</v>
      </c>
      <c r="N24" s="84"/>
      <c r="P24" s="83"/>
      <c r="Q24" t="str">
        <f>'Data Input'!A62</f>
        <v>Employee Compensated Absences</v>
      </c>
      <c r="R24">
        <f>'Data Input'!G62</f>
        <v>85.326037391700865</v>
      </c>
      <c r="S24">
        <f>'Data Input'!H62</f>
        <v>82.843137254901961</v>
      </c>
      <c r="W24" s="84"/>
    </row>
    <row r="25" spans="1:23" ht="16.5" customHeight="1">
      <c r="A25" s="83"/>
      <c r="B25" t="str">
        <f>'Data Input'!A65</f>
        <v>Other Claims &amp; Contingencies</v>
      </c>
      <c r="C25">
        <f>'Data Input'!B65</f>
        <v>16648</v>
      </c>
      <c r="D25">
        <f>'Data Input'!C65</f>
        <v>12610</v>
      </c>
      <c r="E25">
        <f>'Data Input'!D65</f>
        <v>9438</v>
      </c>
      <c r="F25">
        <f>'Data Input'!E65</f>
        <v>0</v>
      </c>
      <c r="G25">
        <f>'Data Input'!F65</f>
        <v>948195</v>
      </c>
      <c r="N25" s="84"/>
      <c r="P25" s="83"/>
      <c r="Q25" t="str">
        <f>'Data Input'!A65</f>
        <v>Other Claims &amp; Contingencies</v>
      </c>
      <c r="R25">
        <f>'Data Input'!G65</f>
        <v>0</v>
      </c>
      <c r="S25">
        <f>'Data Input'!H65</f>
        <v>86.474692202462379</v>
      </c>
      <c r="W25" s="84"/>
    </row>
    <row r="26" spans="1:23" ht="16.5" customHeight="1">
      <c r="A26" s="83"/>
      <c r="N26" s="84"/>
      <c r="P26" s="83"/>
      <c r="W26" s="84"/>
    </row>
    <row r="27" spans="1:23" ht="16.5" customHeight="1">
      <c r="A27" s="83"/>
      <c r="N27" s="84"/>
      <c r="P27" s="83"/>
      <c r="W27" s="84"/>
    </row>
    <row r="28" spans="1:23" ht="16.5" customHeight="1">
      <c r="A28" s="83"/>
      <c r="N28" s="84"/>
      <c r="P28" s="83"/>
      <c r="W28" s="84"/>
    </row>
    <row r="29" spans="1:23" ht="16.5" customHeight="1">
      <c r="A29" s="83"/>
      <c r="N29" s="84"/>
      <c r="P29" s="83"/>
      <c r="W29" s="84"/>
    </row>
    <row r="30" spans="1:23" ht="16.5" customHeight="1">
      <c r="A30" s="83"/>
      <c r="N30" s="84"/>
      <c r="P30" s="83"/>
      <c r="W30" s="84"/>
    </row>
    <row r="31" spans="1:23" ht="16.5" customHeight="1">
      <c r="A31" s="83"/>
      <c r="N31" s="84"/>
      <c r="P31" s="83"/>
      <c r="W31" s="84"/>
    </row>
    <row r="32" spans="1:23" ht="16.5" customHeight="1">
      <c r="A32" s="83"/>
      <c r="N32" s="84"/>
      <c r="P32" s="83"/>
      <c r="W32" s="84"/>
    </row>
    <row r="33" spans="1:23" ht="16.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  <c r="P33" s="85"/>
      <c r="Q33" s="86"/>
      <c r="R33" s="86"/>
      <c r="S33" s="86"/>
      <c r="T33" s="86"/>
      <c r="U33" s="86"/>
      <c r="V33" s="86"/>
      <c r="W33" s="87"/>
    </row>
    <row r="34" spans="1:23" ht="16.5" customHeight="1"/>
    <row r="35" spans="1:23" ht="23.25" customHeight="1">
      <c r="A35" s="144" t="s">
        <v>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</row>
    <row r="36" spans="1:23" ht="23.2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9"/>
    </row>
    <row r="37" spans="1:23" ht="23.25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2"/>
    </row>
    <row r="38" spans="1:23" ht="15" customHeight="1">
      <c r="A38" t="str">
        <f>CONCATENATE("For more information on our unit's finances, contact ",'Data Input'!B71," at ",'Data Input'!B72,".")</f>
        <v>For more information on our unit's finances, contact James P. Bonamy, Finance Director at 616 847-4893.</v>
      </c>
    </row>
    <row r="40" spans="1:23" ht="15" customHeight="1">
      <c r="A40" t="s">
        <v>189</v>
      </c>
    </row>
    <row r="41" spans="1:23" ht="15" customHeight="1">
      <c r="A41" s="32" t="s">
        <v>217</v>
      </c>
    </row>
  </sheetData>
  <sheetProtection password="BCFE" sheet="1" formatCells="0" formatColumns="0" formatRows="0" insertColumns="0" insertRows="0" insertHyperlinks="0" deleteColumns="0" deleteRows="0" sort="0" autoFilter="0" pivotTables="0"/>
  <mergeCells count="2">
    <mergeCell ref="A35:W37"/>
    <mergeCell ref="A1:W1"/>
  </mergeCells>
  <printOptions horizontalCentered="1"/>
  <pageMargins left="0.2" right="0.2" top="0.5" bottom="0.5" header="0.25" footer="0.25"/>
  <pageSetup scale="83" orientation="landscape" r:id="rId1"/>
  <headerFooter alignWithMargins="0">
    <oddFooter>&amp;L&amp;"Calibri,Bold"CITIZEN'S GUIDE TO LOCAL UNIT FINANCES&amp;R&amp;"Calibri,Bold"&amp;A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5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75" sqref="J75"/>
    </sheetView>
  </sheetViews>
  <sheetFormatPr defaultRowHeight="15"/>
  <cols>
    <col min="1" max="1" width="9.125" customWidth="1"/>
    <col min="2" max="2" width="36" style="47" customWidth="1"/>
    <col min="3" max="3" width="18.75" style="47" customWidth="1"/>
    <col min="4" max="8" width="16.25" customWidth="1"/>
    <col min="10" max="10" width="10.625" bestFit="1" customWidth="1"/>
  </cols>
  <sheetData>
    <row r="1" spans="1:8" ht="17.25">
      <c r="A1" s="112" t="s">
        <v>107</v>
      </c>
      <c r="B1" s="113" t="s">
        <v>171</v>
      </c>
      <c r="C1" s="113" t="s">
        <v>71</v>
      </c>
      <c r="D1" s="114">
        <v>2011</v>
      </c>
      <c r="E1" s="114">
        <v>2012</v>
      </c>
      <c r="F1" s="114">
        <v>2013</v>
      </c>
      <c r="G1" s="114">
        <v>2014</v>
      </c>
      <c r="H1" s="114">
        <v>2015</v>
      </c>
    </row>
    <row r="2" spans="1:8">
      <c r="A2" s="115"/>
      <c r="B2" s="116" t="s">
        <v>106</v>
      </c>
      <c r="C2" s="116"/>
      <c r="D2" s="115"/>
      <c r="E2" s="115"/>
      <c r="F2" s="115"/>
      <c r="G2" s="115"/>
      <c r="H2" s="115"/>
    </row>
    <row r="3" spans="1:8">
      <c r="A3" s="115"/>
      <c r="B3" s="117" t="s">
        <v>66</v>
      </c>
      <c r="C3" s="117"/>
      <c r="D3" s="115"/>
      <c r="E3" s="115"/>
      <c r="F3" s="115"/>
      <c r="G3" s="115"/>
      <c r="H3" s="115"/>
    </row>
    <row r="4" spans="1:8">
      <c r="A4" s="115">
        <v>101</v>
      </c>
      <c r="B4" s="117" t="s">
        <v>19</v>
      </c>
      <c r="C4" s="118" t="s">
        <v>138</v>
      </c>
      <c r="D4" s="119">
        <v>9022054</v>
      </c>
      <c r="E4" s="119">
        <v>9185201</v>
      </c>
      <c r="F4" s="119">
        <v>8782645</v>
      </c>
      <c r="G4" s="119">
        <v>8952642</v>
      </c>
      <c r="H4" s="119">
        <v>9225926</v>
      </c>
    </row>
    <row r="5" spans="1:8">
      <c r="A5" s="115">
        <v>102</v>
      </c>
      <c r="B5" s="117" t="s">
        <v>195</v>
      </c>
      <c r="C5" s="118" t="s">
        <v>138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</row>
    <row r="6" spans="1:8">
      <c r="A6" s="115">
        <v>103</v>
      </c>
      <c r="B6" s="117" t="s">
        <v>79</v>
      </c>
      <c r="C6" s="118" t="s">
        <v>138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</row>
    <row r="7" spans="1:8">
      <c r="A7" s="115">
        <v>104</v>
      </c>
      <c r="B7" s="117" t="s">
        <v>149</v>
      </c>
      <c r="C7" s="118" t="s">
        <v>138</v>
      </c>
      <c r="D7" s="119">
        <v>2298</v>
      </c>
      <c r="E7" s="119">
        <v>2298</v>
      </c>
      <c r="F7" s="119">
        <v>2298</v>
      </c>
      <c r="G7" s="119">
        <v>2298</v>
      </c>
      <c r="H7" s="119">
        <v>2298</v>
      </c>
    </row>
    <row r="8" spans="1:8">
      <c r="A8" s="115">
        <v>105</v>
      </c>
      <c r="B8" s="117" t="s">
        <v>179</v>
      </c>
      <c r="C8" s="118" t="s">
        <v>138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</row>
    <row r="9" spans="1:8">
      <c r="A9" s="115">
        <v>106</v>
      </c>
      <c r="B9" s="117" t="s">
        <v>34</v>
      </c>
      <c r="C9" s="118" t="s">
        <v>138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</row>
    <row r="10" spans="1:8">
      <c r="A10" s="115">
        <v>107</v>
      </c>
      <c r="B10" s="117" t="s">
        <v>49</v>
      </c>
      <c r="C10" s="118" t="s">
        <v>138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</row>
    <row r="11" spans="1:8">
      <c r="A11" s="115">
        <v>108</v>
      </c>
      <c r="B11" s="117" t="s">
        <v>84</v>
      </c>
      <c r="C11" s="118" t="s">
        <v>40</v>
      </c>
      <c r="D11" s="119">
        <v>405880</v>
      </c>
      <c r="E11" s="119">
        <v>0</v>
      </c>
      <c r="F11" s="119">
        <v>168112</v>
      </c>
      <c r="G11" s="119">
        <v>207760</v>
      </c>
      <c r="H11" s="119">
        <v>185768</v>
      </c>
    </row>
    <row r="12" spans="1:8">
      <c r="A12" s="115">
        <v>109</v>
      </c>
      <c r="B12" s="117" t="s">
        <v>163</v>
      </c>
      <c r="C12" s="118" t="s">
        <v>40</v>
      </c>
      <c r="D12" s="119">
        <v>0</v>
      </c>
      <c r="E12" s="119">
        <v>492055</v>
      </c>
      <c r="F12" s="119">
        <v>311372</v>
      </c>
      <c r="G12" s="119">
        <v>369758</v>
      </c>
      <c r="H12" s="119">
        <v>344008</v>
      </c>
    </row>
    <row r="13" spans="1:8">
      <c r="A13" s="115">
        <v>110</v>
      </c>
      <c r="B13" s="117" t="s">
        <v>131</v>
      </c>
      <c r="C13" s="118" t="s">
        <v>91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</row>
    <row r="14" spans="1:8">
      <c r="A14" s="115">
        <v>111</v>
      </c>
      <c r="B14" s="117" t="s">
        <v>17</v>
      </c>
      <c r="C14" s="118" t="s">
        <v>91</v>
      </c>
      <c r="D14" s="119">
        <v>45685</v>
      </c>
      <c r="E14" s="119">
        <v>37237</v>
      </c>
      <c r="F14" s="119">
        <v>0</v>
      </c>
      <c r="G14" s="119">
        <v>0</v>
      </c>
      <c r="H14" s="119">
        <v>0</v>
      </c>
    </row>
    <row r="15" spans="1:8">
      <c r="A15" s="115">
        <v>112</v>
      </c>
      <c r="B15" s="117" t="s">
        <v>56</v>
      </c>
      <c r="C15" s="118" t="s">
        <v>91</v>
      </c>
      <c r="D15" s="119">
        <v>371261</v>
      </c>
      <c r="E15" s="119">
        <v>0</v>
      </c>
      <c r="F15" s="119">
        <v>9188</v>
      </c>
      <c r="G15" s="119">
        <v>1635278</v>
      </c>
      <c r="H15" s="119">
        <v>160084</v>
      </c>
    </row>
    <row r="16" spans="1:8">
      <c r="A16" s="115">
        <v>113</v>
      </c>
      <c r="B16" s="117" t="s">
        <v>5</v>
      </c>
      <c r="C16" s="118" t="s">
        <v>91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</row>
    <row r="17" spans="1:8">
      <c r="A17" s="115">
        <v>114</v>
      </c>
      <c r="B17" s="117" t="s">
        <v>4</v>
      </c>
      <c r="C17" s="118" t="s">
        <v>91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</row>
    <row r="18" spans="1:8">
      <c r="A18" s="115">
        <v>115</v>
      </c>
      <c r="B18" s="117" t="s">
        <v>181</v>
      </c>
      <c r="C18" s="118" t="s">
        <v>91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</row>
    <row r="19" spans="1:8">
      <c r="A19" s="115">
        <v>116</v>
      </c>
      <c r="B19" s="117" t="s">
        <v>90</v>
      </c>
      <c r="C19" s="118" t="s">
        <v>91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</row>
    <row r="20" spans="1:8" ht="30">
      <c r="A20" s="115">
        <v>117</v>
      </c>
      <c r="B20" s="117" t="s">
        <v>196</v>
      </c>
      <c r="C20" s="118" t="s">
        <v>91</v>
      </c>
      <c r="D20" s="119">
        <v>90641</v>
      </c>
      <c r="E20" s="119">
        <v>155657</v>
      </c>
      <c r="F20" s="119">
        <v>475944</v>
      </c>
      <c r="G20" s="119">
        <v>68744</v>
      </c>
      <c r="H20" s="119">
        <v>35077</v>
      </c>
    </row>
    <row r="21" spans="1:8">
      <c r="A21" s="115">
        <v>118</v>
      </c>
      <c r="B21" s="117" t="s">
        <v>102</v>
      </c>
      <c r="C21" s="118" t="s">
        <v>91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</row>
    <row r="22" spans="1:8">
      <c r="A22" s="115">
        <v>119</v>
      </c>
      <c r="B22" s="117" t="s">
        <v>141</v>
      </c>
      <c r="C22" s="118" t="s">
        <v>91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</row>
    <row r="23" spans="1:8">
      <c r="A23" s="115">
        <v>120</v>
      </c>
      <c r="B23" s="117" t="s">
        <v>67</v>
      </c>
      <c r="C23" s="118" t="s">
        <v>91</v>
      </c>
      <c r="D23" s="119">
        <v>0</v>
      </c>
      <c r="E23" s="119">
        <v>125470</v>
      </c>
      <c r="F23" s="119">
        <v>0</v>
      </c>
      <c r="G23" s="119">
        <v>0</v>
      </c>
      <c r="H23" s="119">
        <v>0</v>
      </c>
    </row>
    <row r="24" spans="1:8">
      <c r="A24" s="115">
        <v>121</v>
      </c>
      <c r="B24" s="117" t="s">
        <v>11</v>
      </c>
      <c r="C24" s="118" t="s">
        <v>91</v>
      </c>
      <c r="D24" s="119">
        <v>0</v>
      </c>
      <c r="E24" s="119">
        <v>65418</v>
      </c>
      <c r="F24" s="119">
        <v>524254</v>
      </c>
      <c r="G24" s="119">
        <v>49559</v>
      </c>
      <c r="H24" s="119">
        <v>11402</v>
      </c>
    </row>
    <row r="25" spans="1:8">
      <c r="A25" s="115">
        <v>122</v>
      </c>
      <c r="B25" s="117" t="s">
        <v>78</v>
      </c>
      <c r="C25" s="118" t="s">
        <v>6</v>
      </c>
      <c r="D25" s="119">
        <v>909126</v>
      </c>
      <c r="E25" s="119">
        <v>877629</v>
      </c>
      <c r="F25" s="119">
        <v>887011</v>
      </c>
      <c r="G25" s="119">
        <v>910877</v>
      </c>
      <c r="H25" s="119">
        <v>927106</v>
      </c>
    </row>
    <row r="26" spans="1:8">
      <c r="A26" s="115">
        <v>123</v>
      </c>
      <c r="B26" s="117" t="s">
        <v>28</v>
      </c>
      <c r="C26" s="118" t="s">
        <v>6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</row>
    <row r="27" spans="1:8">
      <c r="A27" s="115">
        <v>124</v>
      </c>
      <c r="B27" s="117" t="s">
        <v>92</v>
      </c>
      <c r="C27" s="118" t="s">
        <v>6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</row>
    <row r="28" spans="1:8">
      <c r="A28" s="115">
        <v>125</v>
      </c>
      <c r="B28" s="117" t="s">
        <v>113</v>
      </c>
      <c r="C28" s="118" t="s">
        <v>6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</row>
    <row r="29" spans="1:8">
      <c r="A29" s="115">
        <v>126</v>
      </c>
      <c r="B29" s="117" t="s">
        <v>87</v>
      </c>
      <c r="C29" s="118" t="s">
        <v>6</v>
      </c>
      <c r="D29" s="119">
        <v>0</v>
      </c>
      <c r="E29" s="119">
        <v>0</v>
      </c>
      <c r="F29" s="119">
        <v>44704</v>
      </c>
      <c r="G29" s="119">
        <v>21156</v>
      </c>
      <c r="H29" s="119">
        <v>20732</v>
      </c>
    </row>
    <row r="30" spans="1:8">
      <c r="A30" s="115">
        <v>127</v>
      </c>
      <c r="B30" s="117" t="s">
        <v>148</v>
      </c>
      <c r="C30" s="118" t="s">
        <v>6</v>
      </c>
      <c r="D30" s="119">
        <v>856391</v>
      </c>
      <c r="E30" s="119">
        <v>945152</v>
      </c>
      <c r="F30" s="119">
        <v>759905</v>
      </c>
      <c r="G30" s="119">
        <v>889100</v>
      </c>
      <c r="H30" s="119">
        <v>878210</v>
      </c>
    </row>
    <row r="31" spans="1:8">
      <c r="A31" s="115">
        <v>128</v>
      </c>
      <c r="B31" s="117" t="s">
        <v>119</v>
      </c>
      <c r="C31" s="118" t="s">
        <v>6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>
      <c r="A32" s="115">
        <v>129</v>
      </c>
      <c r="B32" s="117" t="s">
        <v>108</v>
      </c>
      <c r="C32" s="118" t="s">
        <v>6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</row>
    <row r="33" spans="1:8">
      <c r="A33" s="115">
        <v>130</v>
      </c>
      <c r="B33" s="117" t="s">
        <v>3</v>
      </c>
      <c r="C33" s="118" t="s">
        <v>6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</row>
    <row r="34" spans="1:8">
      <c r="A34" s="115">
        <v>131</v>
      </c>
      <c r="B34" s="117" t="s">
        <v>173</v>
      </c>
      <c r="C34" s="118" t="s">
        <v>6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</row>
    <row r="35" spans="1:8">
      <c r="A35" s="115">
        <v>132</v>
      </c>
      <c r="B35" s="117" t="s">
        <v>33</v>
      </c>
      <c r="C35" s="118" t="s">
        <v>6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</row>
    <row r="36" spans="1:8" ht="30">
      <c r="A36" s="115">
        <v>133</v>
      </c>
      <c r="B36" s="117" t="s">
        <v>116</v>
      </c>
      <c r="C36" s="118" t="s">
        <v>6</v>
      </c>
      <c r="D36" s="119">
        <v>55925</v>
      </c>
      <c r="E36" s="119">
        <v>43180</v>
      </c>
      <c r="F36" s="119">
        <v>97277</v>
      </c>
      <c r="G36" s="119">
        <v>48506</v>
      </c>
      <c r="H36" s="119">
        <v>106528</v>
      </c>
    </row>
    <row r="37" spans="1:8">
      <c r="A37" s="115">
        <v>134</v>
      </c>
      <c r="B37" s="117" t="s">
        <v>162</v>
      </c>
      <c r="C37" s="118" t="s">
        <v>6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</row>
    <row r="38" spans="1:8">
      <c r="A38" s="115">
        <v>135</v>
      </c>
      <c r="B38" s="117" t="s">
        <v>55</v>
      </c>
      <c r="C38" s="118" t="s">
        <v>6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</row>
    <row r="39" spans="1:8">
      <c r="A39" s="115">
        <v>136</v>
      </c>
      <c r="B39" s="117" t="s">
        <v>182</v>
      </c>
      <c r="C39" s="118" t="s">
        <v>6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</row>
    <row r="40" spans="1:8">
      <c r="A40" s="115">
        <v>137</v>
      </c>
      <c r="B40" s="117" t="s">
        <v>132</v>
      </c>
      <c r="C40" s="118" t="s">
        <v>6</v>
      </c>
      <c r="D40" s="119">
        <v>115325</v>
      </c>
      <c r="E40" s="119">
        <v>212116</v>
      </c>
      <c r="F40" s="119">
        <v>209821</v>
      </c>
      <c r="G40" s="119">
        <v>67654</v>
      </c>
      <c r="H40" s="119">
        <v>525</v>
      </c>
    </row>
    <row r="41" spans="1:8">
      <c r="A41" s="115">
        <v>138</v>
      </c>
      <c r="B41" s="117" t="s">
        <v>161</v>
      </c>
      <c r="C41" s="118" t="s">
        <v>73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</row>
    <row r="42" spans="1:8">
      <c r="A42" s="115">
        <v>139</v>
      </c>
      <c r="B42" s="117" t="s">
        <v>86</v>
      </c>
      <c r="C42" s="118" t="s">
        <v>73</v>
      </c>
      <c r="D42" s="119">
        <v>92571</v>
      </c>
      <c r="E42" s="119">
        <v>94107</v>
      </c>
      <c r="F42" s="119">
        <v>91259</v>
      </c>
      <c r="G42" s="119">
        <v>94315</v>
      </c>
      <c r="H42" s="119">
        <v>92751</v>
      </c>
    </row>
    <row r="43" spans="1:8">
      <c r="A43" s="115">
        <v>140</v>
      </c>
      <c r="B43" s="117" t="s">
        <v>58</v>
      </c>
      <c r="C43" s="118" t="s">
        <v>73</v>
      </c>
      <c r="D43" s="119">
        <v>238275</v>
      </c>
      <c r="E43" s="119">
        <v>106480</v>
      </c>
      <c r="F43" s="119">
        <v>171010</v>
      </c>
      <c r="G43" s="119">
        <v>126795</v>
      </c>
      <c r="H43" s="119">
        <v>94660</v>
      </c>
    </row>
    <row r="44" spans="1:8">
      <c r="A44" s="115">
        <v>141</v>
      </c>
      <c r="B44" s="117" t="s">
        <v>192</v>
      </c>
      <c r="C44" s="118" t="s">
        <v>73</v>
      </c>
      <c r="D44" s="119">
        <v>154110</v>
      </c>
      <c r="E44" s="119">
        <v>178455</v>
      </c>
      <c r="F44" s="119">
        <v>0</v>
      </c>
      <c r="G44" s="119">
        <v>0</v>
      </c>
      <c r="H44" s="119">
        <v>0</v>
      </c>
    </row>
    <row r="45" spans="1:8">
      <c r="A45" s="115">
        <v>142</v>
      </c>
      <c r="B45" s="117" t="s">
        <v>18</v>
      </c>
      <c r="C45" s="118" t="s">
        <v>73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</row>
    <row r="46" spans="1:8">
      <c r="A46" s="115">
        <v>143</v>
      </c>
      <c r="B46" s="117" t="s">
        <v>170</v>
      </c>
      <c r="C46" s="118" t="s">
        <v>73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</row>
    <row r="47" spans="1:8">
      <c r="A47" s="115">
        <v>144</v>
      </c>
      <c r="B47" s="117" t="s">
        <v>120</v>
      </c>
      <c r="C47" s="118" t="s">
        <v>73</v>
      </c>
      <c r="D47" s="119">
        <v>201474</v>
      </c>
      <c r="E47" s="119">
        <v>12500</v>
      </c>
      <c r="F47" s="119">
        <v>0</v>
      </c>
      <c r="G47" s="119">
        <v>0</v>
      </c>
      <c r="H47" s="119">
        <v>0</v>
      </c>
    </row>
    <row r="48" spans="1:8" ht="30">
      <c r="A48" s="115">
        <v>145</v>
      </c>
      <c r="B48" s="117" t="s">
        <v>26</v>
      </c>
      <c r="C48" s="118" t="s">
        <v>73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</row>
    <row r="49" spans="1:8">
      <c r="A49" s="115">
        <v>146</v>
      </c>
      <c r="B49" s="117" t="s">
        <v>76</v>
      </c>
      <c r="C49" s="118" t="s">
        <v>73</v>
      </c>
      <c r="D49" s="119">
        <v>187019</v>
      </c>
      <c r="E49" s="119">
        <v>223678</v>
      </c>
      <c r="F49" s="119">
        <v>215316</v>
      </c>
      <c r="G49" s="119">
        <v>187063</v>
      </c>
      <c r="H49" s="119">
        <v>202566</v>
      </c>
    </row>
    <row r="50" spans="1:8">
      <c r="A50" s="115">
        <v>147</v>
      </c>
      <c r="B50" s="117" t="s">
        <v>81</v>
      </c>
      <c r="C50" s="118" t="s">
        <v>73</v>
      </c>
      <c r="D50" s="119">
        <v>114891</v>
      </c>
      <c r="E50" s="119">
        <v>135326</v>
      </c>
      <c r="F50" s="119">
        <v>122763</v>
      </c>
      <c r="G50" s="119">
        <v>143766</v>
      </c>
      <c r="H50" s="119">
        <v>132961</v>
      </c>
    </row>
    <row r="51" spans="1:8">
      <c r="A51" s="115">
        <v>148</v>
      </c>
      <c r="B51" s="117" t="s">
        <v>68</v>
      </c>
      <c r="C51" s="118" t="s">
        <v>73</v>
      </c>
      <c r="D51" s="119">
        <v>25341</v>
      </c>
      <c r="E51" s="119">
        <v>1169386</v>
      </c>
      <c r="F51" s="119">
        <v>226789</v>
      </c>
      <c r="G51" s="119">
        <v>488039</v>
      </c>
      <c r="H51" s="119">
        <v>441572</v>
      </c>
    </row>
    <row r="52" spans="1:8">
      <c r="A52" s="115">
        <v>149</v>
      </c>
      <c r="B52" s="117" t="s">
        <v>38</v>
      </c>
      <c r="C52" s="118" t="s">
        <v>160</v>
      </c>
      <c r="D52" s="119">
        <v>0</v>
      </c>
      <c r="E52" s="119">
        <v>0</v>
      </c>
      <c r="F52" s="119">
        <v>64536</v>
      </c>
      <c r="G52" s="119">
        <v>81862</v>
      </c>
      <c r="H52" s="119">
        <v>57219</v>
      </c>
    </row>
    <row r="53" spans="1:8">
      <c r="A53" s="115">
        <v>150</v>
      </c>
      <c r="B53" s="117" t="s">
        <v>39</v>
      </c>
      <c r="C53" s="118" t="s">
        <v>160</v>
      </c>
      <c r="D53" s="119">
        <v>0</v>
      </c>
      <c r="E53" s="119">
        <v>0</v>
      </c>
      <c r="F53" s="119">
        <v>27845</v>
      </c>
      <c r="G53" s="119">
        <v>37420</v>
      </c>
      <c r="H53" s="119">
        <v>33020</v>
      </c>
    </row>
    <row r="54" spans="1:8">
      <c r="A54" s="115">
        <v>151</v>
      </c>
      <c r="B54" s="117" t="s">
        <v>150</v>
      </c>
      <c r="C54" s="118" t="s">
        <v>160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</row>
    <row r="55" spans="1:8">
      <c r="A55" s="115">
        <v>152</v>
      </c>
      <c r="B55" s="117" t="s">
        <v>61</v>
      </c>
      <c r="C55" s="118" t="s">
        <v>160</v>
      </c>
      <c r="D55" s="119">
        <v>0</v>
      </c>
      <c r="E55" s="119">
        <v>0</v>
      </c>
      <c r="F55" s="119">
        <v>1168</v>
      </c>
      <c r="G55" s="119">
        <v>1407</v>
      </c>
      <c r="H55" s="119">
        <v>1765</v>
      </c>
    </row>
    <row r="56" spans="1:8">
      <c r="A56" s="115">
        <v>153</v>
      </c>
      <c r="B56" s="117" t="s">
        <v>98</v>
      </c>
      <c r="C56" s="118" t="s">
        <v>160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</row>
    <row r="57" spans="1:8">
      <c r="A57" s="115">
        <v>154</v>
      </c>
      <c r="B57" s="117" t="s">
        <v>130</v>
      </c>
      <c r="C57" s="118" t="s">
        <v>160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</row>
    <row r="58" spans="1:8">
      <c r="A58" s="115">
        <v>155</v>
      </c>
      <c r="B58" s="117" t="s">
        <v>204</v>
      </c>
      <c r="C58" s="118" t="s">
        <v>160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</row>
    <row r="59" spans="1:8">
      <c r="A59" s="115">
        <v>156</v>
      </c>
      <c r="B59" s="117" t="s">
        <v>123</v>
      </c>
      <c r="C59" s="118" t="s">
        <v>160</v>
      </c>
      <c r="D59" s="119">
        <v>12994</v>
      </c>
      <c r="E59" s="119">
        <v>12804</v>
      </c>
      <c r="F59" s="119">
        <v>11379</v>
      </c>
      <c r="G59" s="119">
        <v>15244</v>
      </c>
      <c r="H59" s="119">
        <v>13974</v>
      </c>
    </row>
    <row r="60" spans="1:8">
      <c r="A60" s="115">
        <v>157</v>
      </c>
      <c r="B60" s="117" t="s">
        <v>30</v>
      </c>
      <c r="C60" s="118" t="s">
        <v>160</v>
      </c>
      <c r="D60" s="119">
        <v>95710</v>
      </c>
      <c r="E60" s="119">
        <v>41478</v>
      </c>
      <c r="F60" s="119">
        <v>95987</v>
      </c>
      <c r="G60" s="119">
        <v>83790</v>
      </c>
      <c r="H60" s="119">
        <v>72049</v>
      </c>
    </row>
    <row r="61" spans="1:8">
      <c r="A61" s="115">
        <v>158</v>
      </c>
      <c r="B61" s="117" t="s">
        <v>114</v>
      </c>
      <c r="C61" s="118" t="s">
        <v>160</v>
      </c>
      <c r="D61" s="119">
        <v>168240</v>
      </c>
      <c r="E61" s="119">
        <v>221324</v>
      </c>
      <c r="F61" s="119">
        <v>264098</v>
      </c>
      <c r="G61" s="119">
        <v>255255</v>
      </c>
      <c r="H61" s="119">
        <v>258552</v>
      </c>
    </row>
    <row r="62" spans="1:8">
      <c r="A62" s="115">
        <v>159</v>
      </c>
      <c r="B62" s="117" t="s">
        <v>74</v>
      </c>
      <c r="C62" s="118" t="s">
        <v>160</v>
      </c>
      <c r="D62" s="119">
        <v>0</v>
      </c>
      <c r="E62" s="119">
        <v>0</v>
      </c>
      <c r="F62" s="119">
        <v>5553</v>
      </c>
      <c r="G62" s="119">
        <v>7136</v>
      </c>
      <c r="H62" s="119">
        <v>7145</v>
      </c>
    </row>
    <row r="63" spans="1:8">
      <c r="A63" s="115">
        <v>160</v>
      </c>
      <c r="B63" s="117" t="s">
        <v>75</v>
      </c>
      <c r="C63" s="118" t="s">
        <v>160</v>
      </c>
      <c r="D63" s="119">
        <v>0</v>
      </c>
      <c r="E63" s="119">
        <v>116295</v>
      </c>
      <c r="F63" s="119">
        <v>154451</v>
      </c>
      <c r="G63" s="119">
        <v>187794</v>
      </c>
      <c r="H63" s="119">
        <v>158182</v>
      </c>
    </row>
    <row r="64" spans="1:8">
      <c r="A64" s="115">
        <v>161</v>
      </c>
      <c r="B64" s="117" t="s">
        <v>42</v>
      </c>
      <c r="C64" s="118" t="s">
        <v>0</v>
      </c>
      <c r="D64" s="119">
        <v>153754</v>
      </c>
      <c r="E64" s="119">
        <v>100085</v>
      </c>
      <c r="F64" s="44">
        <v>96736</v>
      </c>
      <c r="G64" s="44">
        <v>127788</v>
      </c>
      <c r="H64" s="44">
        <v>97268</v>
      </c>
    </row>
    <row r="65" spans="1:8">
      <c r="A65" s="115">
        <v>162</v>
      </c>
      <c r="B65" s="117" t="s">
        <v>152</v>
      </c>
      <c r="C65" s="118" t="s">
        <v>118</v>
      </c>
      <c r="D65" s="119">
        <v>55579</v>
      </c>
      <c r="E65" s="119">
        <v>25651</v>
      </c>
      <c r="F65" s="44">
        <v>102552</v>
      </c>
      <c r="G65" s="44">
        <v>97020</v>
      </c>
      <c r="H65" s="44">
        <v>286310</v>
      </c>
    </row>
    <row r="66" spans="1:8">
      <c r="A66" s="115">
        <v>163</v>
      </c>
      <c r="B66" s="117" t="s">
        <v>186</v>
      </c>
      <c r="C66" s="118" t="s">
        <v>118</v>
      </c>
      <c r="D66" s="119">
        <v>55039</v>
      </c>
      <c r="E66" s="119">
        <v>88387</v>
      </c>
      <c r="F66" s="44">
        <v>110401</v>
      </c>
      <c r="G66" s="44">
        <v>167336</v>
      </c>
      <c r="H66" s="44">
        <v>110358</v>
      </c>
    </row>
    <row r="67" spans="1:8">
      <c r="A67" s="115">
        <v>164</v>
      </c>
      <c r="B67" s="117" t="s">
        <v>57</v>
      </c>
      <c r="C67" s="118" t="s">
        <v>1</v>
      </c>
      <c r="D67" s="119">
        <v>9539</v>
      </c>
      <c r="E67" s="119">
        <v>3832</v>
      </c>
      <c r="F67" s="44">
        <v>0</v>
      </c>
      <c r="G67" s="44">
        <v>0</v>
      </c>
      <c r="H67" s="44">
        <v>0</v>
      </c>
    </row>
    <row r="68" spans="1:8">
      <c r="A68" s="115">
        <v>165</v>
      </c>
      <c r="B68" s="117" t="s">
        <v>140</v>
      </c>
      <c r="C68" s="118" t="s">
        <v>1</v>
      </c>
      <c r="D68" s="119">
        <v>11778</v>
      </c>
      <c r="E68" s="119">
        <v>10282</v>
      </c>
      <c r="F68" s="44">
        <v>29642</v>
      </c>
      <c r="G68" s="44">
        <v>11245</v>
      </c>
      <c r="H68" s="44">
        <v>10482</v>
      </c>
    </row>
    <row r="69" spans="1:8">
      <c r="A69" s="115">
        <v>166</v>
      </c>
      <c r="B69" s="117" t="s">
        <v>180</v>
      </c>
      <c r="C69" s="118" t="s">
        <v>1</v>
      </c>
      <c r="D69" s="119">
        <v>0</v>
      </c>
      <c r="E69" s="119">
        <v>0</v>
      </c>
      <c r="F69" s="44">
        <v>0</v>
      </c>
      <c r="G69" s="44">
        <v>0</v>
      </c>
      <c r="H69" s="44">
        <v>0</v>
      </c>
    </row>
    <row r="70" spans="1:8">
      <c r="A70" s="115">
        <v>167</v>
      </c>
      <c r="B70" s="117" t="s">
        <v>193</v>
      </c>
      <c r="C70" s="118" t="s">
        <v>1</v>
      </c>
      <c r="D70" s="119">
        <v>33468</v>
      </c>
      <c r="E70" s="119">
        <v>37381</v>
      </c>
      <c r="F70" s="44">
        <v>33633</v>
      </c>
      <c r="G70" s="44">
        <v>43576</v>
      </c>
      <c r="H70" s="44">
        <v>43140</v>
      </c>
    </row>
    <row r="71" spans="1:8">
      <c r="A71" s="115">
        <v>168</v>
      </c>
      <c r="B71" s="117" t="s">
        <v>201</v>
      </c>
      <c r="C71" s="118" t="s">
        <v>1</v>
      </c>
      <c r="D71" s="119">
        <v>0</v>
      </c>
      <c r="E71" s="119">
        <v>0</v>
      </c>
      <c r="F71" s="44">
        <v>0</v>
      </c>
      <c r="G71" s="44">
        <v>0</v>
      </c>
      <c r="H71" s="44">
        <v>0</v>
      </c>
    </row>
    <row r="72" spans="1:8">
      <c r="A72" s="115">
        <v>169</v>
      </c>
      <c r="B72" s="117" t="s">
        <v>100</v>
      </c>
      <c r="C72" s="118" t="s">
        <v>1</v>
      </c>
      <c r="D72" s="119">
        <v>409888</v>
      </c>
      <c r="E72" s="119">
        <v>622659</v>
      </c>
      <c r="F72" s="44">
        <f>301646-F64</f>
        <v>204910</v>
      </c>
      <c r="G72" s="44">
        <f>426153-G64</f>
        <v>298365</v>
      </c>
      <c r="H72" s="44">
        <f>261383-H64</f>
        <v>164115</v>
      </c>
    </row>
    <row r="73" spans="1:8">
      <c r="A73" s="115">
        <v>170</v>
      </c>
      <c r="B73" s="117" t="s">
        <v>104</v>
      </c>
      <c r="C73" s="118" t="s">
        <v>1</v>
      </c>
      <c r="D73" s="119">
        <v>0</v>
      </c>
      <c r="E73" s="119">
        <v>0</v>
      </c>
      <c r="F73" s="44">
        <v>0</v>
      </c>
      <c r="G73" s="44">
        <v>0</v>
      </c>
      <c r="H73" s="44">
        <v>12261195</v>
      </c>
    </row>
    <row r="74" spans="1:8">
      <c r="A74" s="115">
        <v>171</v>
      </c>
      <c r="B74" s="117" t="s">
        <v>157</v>
      </c>
      <c r="C74" s="118" t="s">
        <v>1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</row>
    <row r="75" spans="1:8">
      <c r="A75" s="115">
        <v>172</v>
      </c>
      <c r="B75" s="117" t="s">
        <v>50</v>
      </c>
      <c r="C75" s="118" t="s">
        <v>1</v>
      </c>
      <c r="D75" s="119">
        <v>4846428</v>
      </c>
      <c r="E75" s="119">
        <v>6897178</v>
      </c>
      <c r="F75" s="119">
        <v>5222375</v>
      </c>
      <c r="G75" s="119">
        <v>5999231</v>
      </c>
      <c r="H75" s="119">
        <v>6343543</v>
      </c>
    </row>
    <row r="76" spans="1:8">
      <c r="A76" s="115"/>
      <c r="B76" s="121"/>
      <c r="C76" s="121"/>
      <c r="D76" s="124"/>
      <c r="E76" s="124"/>
      <c r="F76" s="124"/>
      <c r="G76" s="124"/>
      <c r="H76" s="124"/>
    </row>
    <row r="77" spans="1:8">
      <c r="A77" s="115"/>
      <c r="B77" s="117" t="s">
        <v>43</v>
      </c>
      <c r="C77" s="117"/>
      <c r="D77" s="42"/>
      <c r="E77" s="42"/>
      <c r="F77" s="42"/>
      <c r="G77" s="42"/>
      <c r="H77" s="42"/>
    </row>
    <row r="78" spans="1:8">
      <c r="A78" s="115">
        <v>201</v>
      </c>
      <c r="B78" s="117" t="s">
        <v>145</v>
      </c>
      <c r="C78" s="118" t="s">
        <v>59</v>
      </c>
      <c r="D78" s="119">
        <v>113482</v>
      </c>
      <c r="E78" s="119">
        <v>107917</v>
      </c>
      <c r="F78" s="119">
        <v>118334</v>
      </c>
      <c r="G78" s="119">
        <v>115478</v>
      </c>
      <c r="H78" s="119">
        <v>106809</v>
      </c>
    </row>
    <row r="79" spans="1:8">
      <c r="A79" s="115">
        <v>202</v>
      </c>
      <c r="B79" s="117" t="s">
        <v>10</v>
      </c>
      <c r="C79" s="118" t="s">
        <v>59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</row>
    <row r="80" spans="1:8">
      <c r="A80" s="115">
        <v>203</v>
      </c>
      <c r="B80" s="117" t="s">
        <v>172</v>
      </c>
      <c r="C80" s="118" t="s">
        <v>59</v>
      </c>
      <c r="D80" s="119">
        <v>284983</v>
      </c>
      <c r="E80" s="119">
        <v>408534</v>
      </c>
      <c r="F80" s="119">
        <v>309430</v>
      </c>
      <c r="G80" s="119">
        <v>342317</v>
      </c>
      <c r="H80" s="119">
        <v>313166</v>
      </c>
    </row>
    <row r="81" spans="1:8">
      <c r="A81" s="115">
        <v>204</v>
      </c>
      <c r="B81" s="117" t="s">
        <v>139</v>
      </c>
      <c r="C81" s="118" t="s">
        <v>59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</row>
    <row r="82" spans="1:8">
      <c r="A82" s="115">
        <v>205</v>
      </c>
      <c r="B82" s="117" t="s">
        <v>117</v>
      </c>
      <c r="C82" s="118" t="s">
        <v>59</v>
      </c>
      <c r="D82" s="119">
        <v>217948</v>
      </c>
      <c r="E82" s="119">
        <v>167532</v>
      </c>
      <c r="F82" s="119">
        <v>145625</v>
      </c>
      <c r="G82" s="119">
        <v>145613</v>
      </c>
      <c r="H82" s="119">
        <v>152470</v>
      </c>
    </row>
    <row r="83" spans="1:8">
      <c r="A83" s="115">
        <v>206</v>
      </c>
      <c r="B83" s="117" t="s">
        <v>16</v>
      </c>
      <c r="C83" s="118" t="s">
        <v>59</v>
      </c>
      <c r="D83" s="119">
        <v>0</v>
      </c>
      <c r="E83" s="119">
        <v>214795</v>
      </c>
      <c r="F83" s="119">
        <v>190404</v>
      </c>
      <c r="G83" s="119">
        <v>209951</v>
      </c>
      <c r="H83" s="119">
        <v>222900</v>
      </c>
    </row>
    <row r="84" spans="1:8">
      <c r="A84" s="115">
        <v>207</v>
      </c>
      <c r="B84" s="117" t="s">
        <v>21</v>
      </c>
      <c r="C84" s="118" t="s">
        <v>59</v>
      </c>
      <c r="D84" s="119">
        <v>13882</v>
      </c>
      <c r="E84" s="119">
        <v>16240</v>
      </c>
      <c r="F84" s="119">
        <v>15605</v>
      </c>
      <c r="G84" s="119">
        <v>12011</v>
      </c>
      <c r="H84" s="119">
        <v>22537</v>
      </c>
    </row>
    <row r="85" spans="1:8">
      <c r="A85" s="115">
        <v>208</v>
      </c>
      <c r="B85" s="117" t="s">
        <v>72</v>
      </c>
      <c r="C85" s="118" t="s">
        <v>59</v>
      </c>
      <c r="D85" s="119">
        <v>646749</v>
      </c>
      <c r="E85" s="119">
        <v>1067651</v>
      </c>
      <c r="F85" s="119">
        <v>1325828</v>
      </c>
      <c r="G85" s="119">
        <v>623042</v>
      </c>
      <c r="H85" s="119">
        <v>743222</v>
      </c>
    </row>
    <row r="86" spans="1:8">
      <c r="A86" s="115">
        <v>209</v>
      </c>
      <c r="B86" s="117" t="s">
        <v>143</v>
      </c>
      <c r="C86" s="118" t="s">
        <v>59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</row>
    <row r="87" spans="1:8">
      <c r="A87" s="115">
        <v>210</v>
      </c>
      <c r="B87" s="117" t="s">
        <v>27</v>
      </c>
      <c r="C87" s="118" t="s">
        <v>37</v>
      </c>
      <c r="D87" s="119">
        <v>1351760</v>
      </c>
      <c r="E87" s="119">
        <v>283300</v>
      </c>
      <c r="F87" s="119">
        <v>483004</v>
      </c>
      <c r="G87" s="119">
        <v>505435</v>
      </c>
      <c r="H87" s="119">
        <v>471158</v>
      </c>
    </row>
    <row r="88" spans="1:8">
      <c r="A88" s="115">
        <v>211</v>
      </c>
      <c r="B88" s="117" t="s">
        <v>65</v>
      </c>
      <c r="C88" s="118" t="s">
        <v>62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</row>
    <row r="89" spans="1:8">
      <c r="A89" s="115">
        <v>212</v>
      </c>
      <c r="B89" s="117" t="s">
        <v>184</v>
      </c>
      <c r="C89" s="118" t="s">
        <v>62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</row>
    <row r="90" spans="1:8">
      <c r="A90" s="115">
        <v>213</v>
      </c>
      <c r="B90" s="117" t="s">
        <v>96</v>
      </c>
      <c r="C90" s="118" t="s">
        <v>62</v>
      </c>
      <c r="D90" s="119">
        <v>3471435</v>
      </c>
      <c r="E90" s="119">
        <v>3307385</v>
      </c>
      <c r="F90" s="119">
        <v>3530041</v>
      </c>
      <c r="G90" s="119">
        <v>3826937</v>
      </c>
      <c r="H90" s="119">
        <v>3813953</v>
      </c>
    </row>
    <row r="91" spans="1:8">
      <c r="A91" s="115">
        <v>214</v>
      </c>
      <c r="B91" s="117" t="s">
        <v>169</v>
      </c>
      <c r="C91" s="118" t="s">
        <v>62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</row>
    <row r="92" spans="1:8">
      <c r="A92" s="115">
        <v>215</v>
      </c>
      <c r="B92" s="117" t="s">
        <v>24</v>
      </c>
      <c r="C92" s="118" t="s">
        <v>62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</row>
    <row r="93" spans="1:8">
      <c r="A93" s="115">
        <v>216</v>
      </c>
      <c r="B93" s="117" t="s">
        <v>177</v>
      </c>
      <c r="C93" s="118" t="s">
        <v>124</v>
      </c>
      <c r="D93" s="119">
        <v>0</v>
      </c>
      <c r="E93" s="119">
        <v>301061</v>
      </c>
      <c r="F93" s="119">
        <v>300436</v>
      </c>
      <c r="G93" s="119">
        <v>290425</v>
      </c>
      <c r="H93" s="119">
        <v>274970</v>
      </c>
    </row>
    <row r="94" spans="1:8">
      <c r="A94" s="115">
        <v>217</v>
      </c>
      <c r="B94" s="117" t="s">
        <v>44</v>
      </c>
      <c r="C94" s="118" t="s">
        <v>124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</row>
    <row r="95" spans="1:8">
      <c r="A95" s="115">
        <v>218</v>
      </c>
      <c r="B95" s="117" t="s">
        <v>155</v>
      </c>
      <c r="C95" s="118" t="s">
        <v>45</v>
      </c>
      <c r="D95" s="119">
        <v>3003531</v>
      </c>
      <c r="E95" s="119">
        <v>2233050</v>
      </c>
      <c r="F95" s="119">
        <v>1531912</v>
      </c>
      <c r="G95" s="119">
        <v>1486162</v>
      </c>
      <c r="H95" s="119">
        <v>1575180</v>
      </c>
    </row>
    <row r="96" spans="1:8">
      <c r="A96" s="115">
        <v>219</v>
      </c>
      <c r="B96" s="117" t="s">
        <v>165</v>
      </c>
      <c r="C96" s="118" t="s">
        <v>174</v>
      </c>
      <c r="D96" s="119">
        <v>1407711</v>
      </c>
      <c r="E96" s="119">
        <v>2153978</v>
      </c>
      <c r="F96" s="119">
        <v>1208431</v>
      </c>
      <c r="G96" s="119">
        <v>1488507</v>
      </c>
      <c r="H96" s="119">
        <v>1346165</v>
      </c>
    </row>
    <row r="97" spans="1:8">
      <c r="A97" s="115">
        <v>220</v>
      </c>
      <c r="B97" s="117" t="s">
        <v>63</v>
      </c>
      <c r="C97" s="118" t="s">
        <v>45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</row>
    <row r="98" spans="1:8">
      <c r="A98" s="115">
        <v>221</v>
      </c>
      <c r="B98" s="117" t="s">
        <v>80</v>
      </c>
      <c r="C98" s="118" t="s">
        <v>45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</row>
    <row r="99" spans="1:8">
      <c r="A99" s="115">
        <v>222</v>
      </c>
      <c r="B99" s="117" t="s">
        <v>183</v>
      </c>
      <c r="C99" s="118" t="s">
        <v>45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</row>
    <row r="100" spans="1:8">
      <c r="A100" s="115">
        <v>223</v>
      </c>
      <c r="B100" s="117" t="s">
        <v>154</v>
      </c>
      <c r="C100" s="118" t="s">
        <v>45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</row>
    <row r="101" spans="1:8">
      <c r="A101" s="115">
        <v>224</v>
      </c>
      <c r="B101" s="117" t="s">
        <v>156</v>
      </c>
      <c r="C101" s="118" t="s">
        <v>45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</row>
    <row r="102" spans="1:8">
      <c r="A102" s="115">
        <v>225</v>
      </c>
      <c r="B102" s="117" t="s">
        <v>188</v>
      </c>
      <c r="C102" s="118" t="s">
        <v>45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</row>
    <row r="103" spans="1:8">
      <c r="A103" s="115">
        <v>226</v>
      </c>
      <c r="B103" s="117" t="s">
        <v>8</v>
      </c>
      <c r="C103" s="118" t="s">
        <v>45</v>
      </c>
      <c r="D103" s="119">
        <v>84801</v>
      </c>
      <c r="E103" s="119">
        <v>189145</v>
      </c>
      <c r="F103" s="119">
        <v>274307</v>
      </c>
      <c r="G103" s="119">
        <v>283272</v>
      </c>
      <c r="H103" s="119">
        <v>295323</v>
      </c>
    </row>
    <row r="104" spans="1:8">
      <c r="A104" s="115">
        <v>227</v>
      </c>
      <c r="B104" s="117" t="s">
        <v>14</v>
      </c>
      <c r="C104" s="118" t="s">
        <v>9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</row>
    <row r="105" spans="1:8">
      <c r="A105" s="115">
        <v>228</v>
      </c>
      <c r="B105" s="117" t="s">
        <v>97</v>
      </c>
      <c r="C105" s="118" t="s">
        <v>9</v>
      </c>
      <c r="D105" s="119">
        <v>0</v>
      </c>
      <c r="E105" s="119">
        <v>0</v>
      </c>
      <c r="F105" s="119">
        <v>0</v>
      </c>
      <c r="G105" s="119">
        <v>0</v>
      </c>
      <c r="H105" s="119">
        <v>0</v>
      </c>
    </row>
    <row r="106" spans="1:8">
      <c r="A106" s="115">
        <v>229</v>
      </c>
      <c r="B106" s="117" t="s">
        <v>103</v>
      </c>
      <c r="C106" s="118" t="s">
        <v>9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</row>
    <row r="107" spans="1:8">
      <c r="A107" s="115">
        <v>230</v>
      </c>
      <c r="B107" s="117" t="s">
        <v>69</v>
      </c>
      <c r="C107" s="118" t="s">
        <v>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</row>
    <row r="108" spans="1:8">
      <c r="A108" s="115">
        <v>231</v>
      </c>
      <c r="B108" s="117" t="s">
        <v>137</v>
      </c>
      <c r="C108" s="118" t="s">
        <v>9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</row>
    <row r="109" spans="1:8">
      <c r="A109" s="115">
        <v>232</v>
      </c>
      <c r="B109" s="117" t="s">
        <v>20</v>
      </c>
      <c r="C109" s="118" t="s">
        <v>9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</row>
    <row r="110" spans="1:8">
      <c r="A110" s="115">
        <v>233</v>
      </c>
      <c r="B110" s="117" t="s">
        <v>64</v>
      </c>
      <c r="C110" s="118" t="s">
        <v>9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</row>
    <row r="111" spans="1:8">
      <c r="A111" s="115">
        <v>234</v>
      </c>
      <c r="B111" s="117" t="s">
        <v>158</v>
      </c>
      <c r="C111" s="118" t="s">
        <v>9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</row>
    <row r="112" spans="1:8">
      <c r="A112" s="115">
        <v>235</v>
      </c>
      <c r="B112" s="117" t="s">
        <v>206</v>
      </c>
      <c r="C112" s="118" t="s">
        <v>9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</row>
    <row r="113" spans="1:8">
      <c r="A113" s="115">
        <v>236</v>
      </c>
      <c r="B113" s="117" t="s">
        <v>146</v>
      </c>
      <c r="C113" s="118" t="s">
        <v>9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</row>
    <row r="114" spans="1:8">
      <c r="A114" s="115">
        <v>237</v>
      </c>
      <c r="B114" s="117" t="s">
        <v>54</v>
      </c>
      <c r="C114" s="118" t="s">
        <v>9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</row>
    <row r="115" spans="1:8" ht="30">
      <c r="A115" s="115">
        <v>238</v>
      </c>
      <c r="B115" s="117" t="s">
        <v>35</v>
      </c>
      <c r="C115" s="118" t="s">
        <v>205</v>
      </c>
      <c r="D115" s="119">
        <v>0</v>
      </c>
      <c r="E115" s="119">
        <v>0</v>
      </c>
      <c r="F115" s="119">
        <v>214747</v>
      </c>
      <c r="G115" s="119">
        <v>304432</v>
      </c>
      <c r="H115" s="119">
        <v>222790</v>
      </c>
    </row>
    <row r="116" spans="1:8" ht="30">
      <c r="A116" s="115">
        <v>239</v>
      </c>
      <c r="B116" s="117" t="s">
        <v>178</v>
      </c>
      <c r="C116" s="118" t="s">
        <v>205</v>
      </c>
      <c r="D116" s="119">
        <v>102409</v>
      </c>
      <c r="E116" s="119">
        <v>102410</v>
      </c>
      <c r="F116" s="119">
        <v>128797</v>
      </c>
      <c r="G116" s="119">
        <v>124783</v>
      </c>
      <c r="H116" s="119">
        <v>121988</v>
      </c>
    </row>
    <row r="117" spans="1:8" ht="30">
      <c r="A117" s="115">
        <v>240</v>
      </c>
      <c r="B117" s="117" t="s">
        <v>133</v>
      </c>
      <c r="C117" s="118" t="s">
        <v>205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</row>
    <row r="118" spans="1:8" ht="30">
      <c r="A118" s="115">
        <v>241</v>
      </c>
      <c r="B118" s="117" t="s">
        <v>93</v>
      </c>
      <c r="C118" s="118" t="s">
        <v>205</v>
      </c>
      <c r="D118" s="119">
        <v>0</v>
      </c>
      <c r="E118" s="119">
        <v>0</v>
      </c>
      <c r="F118" s="119">
        <v>353220</v>
      </c>
      <c r="G118" s="119">
        <v>2822</v>
      </c>
      <c r="H118" s="119">
        <v>0</v>
      </c>
    </row>
    <row r="119" spans="1:8">
      <c r="A119" s="115">
        <v>242</v>
      </c>
      <c r="B119" s="117" t="s">
        <v>147</v>
      </c>
      <c r="C119" s="118" t="s">
        <v>164</v>
      </c>
      <c r="D119" s="119">
        <v>539696</v>
      </c>
      <c r="E119" s="119">
        <v>520795</v>
      </c>
      <c r="F119" s="119">
        <v>1205487</v>
      </c>
      <c r="G119" s="119">
        <v>1243775</v>
      </c>
      <c r="H119" s="119">
        <v>1196643</v>
      </c>
    </row>
    <row r="120" spans="1:8">
      <c r="A120" s="115">
        <v>243</v>
      </c>
      <c r="B120" s="117" t="s">
        <v>48</v>
      </c>
      <c r="C120" s="118" t="s">
        <v>164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</row>
    <row r="121" spans="1:8">
      <c r="A121" s="115">
        <v>244</v>
      </c>
      <c r="B121" s="117" t="s">
        <v>15</v>
      </c>
      <c r="C121" s="118" t="s">
        <v>164</v>
      </c>
      <c r="D121" s="119">
        <v>0</v>
      </c>
      <c r="E121" s="119">
        <v>0</v>
      </c>
      <c r="F121" s="119">
        <v>6271</v>
      </c>
      <c r="G121" s="119">
        <v>5718</v>
      </c>
      <c r="H121" s="119">
        <v>0</v>
      </c>
    </row>
    <row r="122" spans="1:8" ht="30">
      <c r="A122" s="115">
        <v>245</v>
      </c>
      <c r="B122" s="117" t="s">
        <v>142</v>
      </c>
      <c r="C122" s="118" t="s">
        <v>127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</row>
    <row r="123" spans="1:8">
      <c r="A123" s="115">
        <v>246</v>
      </c>
      <c r="B123" s="117" t="s">
        <v>176</v>
      </c>
      <c r="C123" s="118" t="s">
        <v>110</v>
      </c>
      <c r="D123" s="119">
        <v>1813681</v>
      </c>
      <c r="E123" s="119">
        <v>2057985</v>
      </c>
      <c r="F123" s="119">
        <v>2317937</v>
      </c>
      <c r="G123" s="119">
        <v>5320577</v>
      </c>
      <c r="H123" s="119">
        <v>2074802</v>
      </c>
    </row>
    <row r="124" spans="1:8">
      <c r="A124" s="115">
        <v>247</v>
      </c>
      <c r="B124" s="117" t="s">
        <v>111</v>
      </c>
      <c r="C124" s="118" t="s">
        <v>166</v>
      </c>
      <c r="D124" s="119">
        <v>994095</v>
      </c>
      <c r="E124" s="119">
        <v>1002917</v>
      </c>
      <c r="F124" s="119">
        <v>1648739</v>
      </c>
      <c r="G124" s="119">
        <v>1888493</v>
      </c>
      <c r="H124" s="119">
        <v>2085461</v>
      </c>
    </row>
    <row r="125" spans="1:8" ht="30">
      <c r="A125" s="115">
        <v>248</v>
      </c>
      <c r="B125" s="117" t="s">
        <v>82</v>
      </c>
      <c r="C125" s="118" t="s">
        <v>213</v>
      </c>
      <c r="D125" s="119">
        <v>3402002</v>
      </c>
      <c r="E125" s="119">
        <v>8402844</v>
      </c>
      <c r="F125" s="119">
        <v>4039141</v>
      </c>
      <c r="G125" s="119">
        <v>4716331</v>
      </c>
      <c r="H125" s="119">
        <v>7633428</v>
      </c>
    </row>
    <row r="126" spans="1:8">
      <c r="A126" s="115">
        <v>249</v>
      </c>
      <c r="B126" s="117" t="s">
        <v>157</v>
      </c>
      <c r="C126" s="118" t="s">
        <v>127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</row>
    <row r="127" spans="1:8">
      <c r="A127" s="115"/>
      <c r="B127" s="121"/>
      <c r="C127" s="117"/>
      <c r="D127" s="124"/>
      <c r="E127" s="124"/>
      <c r="F127" s="124"/>
      <c r="G127" s="124"/>
      <c r="H127" s="124"/>
    </row>
    <row r="128" spans="1:8">
      <c r="A128" s="115"/>
      <c r="B128" s="117"/>
      <c r="C128" s="117"/>
      <c r="D128" s="124"/>
      <c r="E128" s="124"/>
      <c r="F128" s="124"/>
      <c r="G128" s="124"/>
      <c r="H128" s="124"/>
    </row>
    <row r="129" spans="1:8">
      <c r="A129" s="115"/>
      <c r="B129" s="121" t="s">
        <v>32</v>
      </c>
      <c r="C129" s="117"/>
      <c r="D129" s="124"/>
      <c r="E129" s="124"/>
      <c r="F129" s="124"/>
      <c r="G129" s="124"/>
      <c r="H129" s="124"/>
    </row>
    <row r="130" spans="1:8">
      <c r="A130" s="115">
        <v>531</v>
      </c>
      <c r="B130" s="117" t="s">
        <v>51</v>
      </c>
      <c r="C130" s="117" t="s">
        <v>51</v>
      </c>
      <c r="D130" s="115">
        <v>1720980</v>
      </c>
      <c r="E130" s="120">
        <v>1747635</v>
      </c>
      <c r="F130" s="115">
        <v>1769738</v>
      </c>
      <c r="G130" s="115">
        <f>25977+1752923+23515</f>
        <v>1802415</v>
      </c>
      <c r="H130" s="115">
        <f>17006+1775431+20857</f>
        <v>1813294</v>
      </c>
    </row>
    <row r="131" spans="1:8">
      <c r="A131" s="115">
        <v>532</v>
      </c>
      <c r="B131" s="117" t="s">
        <v>126</v>
      </c>
      <c r="C131" s="117" t="s">
        <v>126</v>
      </c>
      <c r="D131" s="115">
        <v>7673058</v>
      </c>
      <c r="E131" s="120">
        <v>6433381</v>
      </c>
      <c r="F131" s="115">
        <v>5610884</v>
      </c>
      <c r="G131" s="115">
        <f>229628+1035679+1732641</f>
        <v>2997948</v>
      </c>
      <c r="H131" s="115">
        <f>445252+10534255+2156835</f>
        <v>13136342</v>
      </c>
    </row>
    <row r="132" spans="1:8">
      <c r="A132" s="115">
        <v>533</v>
      </c>
      <c r="B132" s="117" t="s">
        <v>23</v>
      </c>
      <c r="C132" s="117" t="s">
        <v>23</v>
      </c>
      <c r="D132" s="115">
        <v>2407427</v>
      </c>
      <c r="E132" s="120">
        <v>2133864</v>
      </c>
      <c r="F132" s="115">
        <v>3595207</v>
      </c>
      <c r="G132" s="115">
        <f>3438247+2236847</f>
        <v>5675094</v>
      </c>
      <c r="H132" s="115">
        <f>3817002+2243577</f>
        <v>6060579</v>
      </c>
    </row>
    <row r="133" spans="1:8">
      <c r="A133" s="115">
        <v>534</v>
      </c>
      <c r="B133" s="117" t="s">
        <v>135</v>
      </c>
      <c r="C133" s="117" t="s">
        <v>135</v>
      </c>
      <c r="D133" s="115"/>
      <c r="E133" s="120">
        <v>0</v>
      </c>
      <c r="F133" s="115"/>
      <c r="G133" s="115">
        <v>127903</v>
      </c>
      <c r="H133" s="115"/>
    </row>
    <row r="134" spans="1:8">
      <c r="A134" s="115">
        <v>535</v>
      </c>
      <c r="B134" s="117" t="s">
        <v>197</v>
      </c>
      <c r="C134" s="117" t="s">
        <v>197</v>
      </c>
      <c r="D134" s="115">
        <v>3515039</v>
      </c>
      <c r="E134" s="120">
        <v>4298805</v>
      </c>
      <c r="F134" s="115">
        <v>3815195</v>
      </c>
      <c r="G134" s="115">
        <v>2929363</v>
      </c>
      <c r="H134" s="115">
        <v>3130052</v>
      </c>
    </row>
    <row r="135" spans="1:8">
      <c r="A135" s="115"/>
      <c r="B135" s="121"/>
      <c r="C135" s="121"/>
      <c r="D135" s="124"/>
      <c r="E135" s="124"/>
      <c r="F135" s="124"/>
      <c r="G135" s="124"/>
      <c r="H135" s="124"/>
    </row>
    <row r="137" spans="1:8">
      <c r="D137">
        <f>SUM(D130:D136)</f>
        <v>15316504</v>
      </c>
      <c r="E137">
        <f>SUM(E130:E136)</f>
        <v>14613685</v>
      </c>
      <c r="F137">
        <f>SUM(F130:F136)</f>
        <v>14791024</v>
      </c>
      <c r="G137">
        <f>SUM(G130:G136)</f>
        <v>13532723</v>
      </c>
      <c r="H137">
        <f>SUM(H130:H136)</f>
        <v>24140267</v>
      </c>
    </row>
    <row r="138" spans="1:8">
      <c r="A138" s="32" t="s">
        <v>217</v>
      </c>
      <c r="D138">
        <v>13113312</v>
      </c>
      <c r="E138">
        <v>14148897</v>
      </c>
      <c r="F138">
        <v>15596319</v>
      </c>
      <c r="G138">
        <v>16582903</v>
      </c>
      <c r="H138">
        <v>17571074</v>
      </c>
    </row>
    <row r="139" spans="1:8">
      <c r="A139" s="32" t="s">
        <v>151</v>
      </c>
    </row>
    <row r="140" spans="1:8">
      <c r="D140">
        <f>+D137-D138</f>
        <v>2203192</v>
      </c>
      <c r="E140">
        <f>+E137-E138</f>
        <v>464788</v>
      </c>
      <c r="F140">
        <f>+F137-F138</f>
        <v>-805295</v>
      </c>
      <c r="G140">
        <f>+G137-G138</f>
        <v>-3050180</v>
      </c>
      <c r="H140">
        <f>+H137-H138</f>
        <v>6569193</v>
      </c>
    </row>
    <row r="142" spans="1:8">
      <c r="D142">
        <v>1720980</v>
      </c>
      <c r="E142" t="s">
        <v>209</v>
      </c>
      <c r="F142">
        <v>1769738</v>
      </c>
      <c r="G142">
        <f>25977+1752923+23515</f>
        <v>1802415</v>
      </c>
      <c r="H142">
        <f>17006+1775431+20857</f>
        <v>1813294</v>
      </c>
    </row>
    <row r="143" spans="1:8">
      <c r="D143">
        <v>7673058</v>
      </c>
      <c r="F143">
        <v>5610884</v>
      </c>
      <c r="G143">
        <f>229628+1035679+1732641</f>
        <v>2997948</v>
      </c>
      <c r="H143">
        <f>445252+10534255+2156835</f>
        <v>13136342</v>
      </c>
    </row>
    <row r="144" spans="1:8">
      <c r="D144">
        <v>2407427</v>
      </c>
      <c r="F144">
        <v>3595207</v>
      </c>
      <c r="G144">
        <f>3438247+2236847</f>
        <v>5675094</v>
      </c>
      <c r="H144">
        <f>3817002+2243577</f>
        <v>6060579</v>
      </c>
    </row>
    <row r="145" spans="3:8">
      <c r="G145">
        <v>127903</v>
      </c>
    </row>
    <row r="146" spans="3:8">
      <c r="D146">
        <v>3515039</v>
      </c>
      <c r="F146">
        <v>3815195</v>
      </c>
      <c r="G146">
        <v>2929363</v>
      </c>
      <c r="H146">
        <v>3130052</v>
      </c>
    </row>
    <row r="148" spans="3:8">
      <c r="D148">
        <f>SUM(D142:D147)</f>
        <v>15316504</v>
      </c>
      <c r="E148">
        <f>SUM(E142:E147)</f>
        <v>0</v>
      </c>
      <c r="F148">
        <f>SUM(F142:F147)</f>
        <v>14791024</v>
      </c>
      <c r="G148">
        <f>SUM(G142:G147)</f>
        <v>13532723</v>
      </c>
      <c r="H148">
        <f>SUM(H142:H147)</f>
        <v>24140267</v>
      </c>
    </row>
    <row r="149" spans="3:8">
      <c r="D149">
        <f>+D137-D148</f>
        <v>0</v>
      </c>
      <c r="E149">
        <f>+E137-E148</f>
        <v>14613685</v>
      </c>
      <c r="F149">
        <f>+F137-F148</f>
        <v>0</v>
      </c>
      <c r="G149">
        <f>+G137-G148</f>
        <v>0</v>
      </c>
      <c r="H149">
        <f>+H137-H148</f>
        <v>0</v>
      </c>
    </row>
    <row r="152" spans="3:8">
      <c r="C152" s="47" t="s">
        <v>210</v>
      </c>
    </row>
    <row r="153" spans="3:8">
      <c r="D153" s="120">
        <v>2791517</v>
      </c>
      <c r="E153" s="120">
        <v>1747635</v>
      </c>
      <c r="F153" s="120">
        <v>45856</v>
      </c>
      <c r="G153" s="120">
        <v>0</v>
      </c>
      <c r="H153" s="120">
        <v>0</v>
      </c>
    </row>
    <row r="154" spans="3:8">
      <c r="D154" s="120">
        <v>9009948</v>
      </c>
      <c r="E154" s="120">
        <v>6433381</v>
      </c>
      <c r="F154" s="120">
        <v>7026672</v>
      </c>
      <c r="G154" s="120">
        <v>11036198</v>
      </c>
      <c r="H154" s="120">
        <v>11925468</v>
      </c>
    </row>
    <row r="155" spans="3:8">
      <c r="D155" s="120">
        <v>3515039</v>
      </c>
      <c r="E155" s="120">
        <v>2133864</v>
      </c>
      <c r="F155" s="120">
        <v>3185943</v>
      </c>
      <c r="G155" s="120">
        <v>2107257</v>
      </c>
      <c r="H155" s="120">
        <v>2107257</v>
      </c>
    </row>
    <row r="156" spans="3:8">
      <c r="D156" s="120"/>
      <c r="E156" s="120">
        <v>0</v>
      </c>
      <c r="F156" s="120">
        <v>0</v>
      </c>
      <c r="G156" s="120">
        <v>0</v>
      </c>
      <c r="H156" s="120">
        <v>0</v>
      </c>
    </row>
    <row r="157" spans="3:8">
      <c r="D157" s="120"/>
      <c r="E157" s="120">
        <v>4298805</v>
      </c>
      <c r="F157" s="120">
        <v>4532552</v>
      </c>
      <c r="G157" s="120">
        <v>389271</v>
      </c>
      <c r="H157" s="120">
        <v>10107531</v>
      </c>
    </row>
  </sheetData>
  <sheetProtection password="BCFE" sheet="1" objects="1" scenarios="1" selectLockedCells="1" selectUnlockedCells="1"/>
  <conditionalFormatting sqref="E130:E134 D4:H75 D78:H126">
    <cfRule type="expression" dxfId="1" priority="2" stopIfTrue="1">
      <formula>LEN(TRIM(D4))=0</formula>
    </cfRule>
  </conditionalFormatting>
  <conditionalFormatting sqref="D153:H157">
    <cfRule type="expression" dxfId="0" priority="1" stopIfTrue="1">
      <formula>LEN(TRIM(D153))=0</formula>
    </cfRule>
  </conditionalFormatting>
  <printOptions horizontalCentered="1"/>
  <pageMargins left="0.2" right="0.2" top="0.5" bottom="0.5" header="0.25" footer="0.25"/>
  <pageSetup scale="93" fitToHeight="0" orientation="landscape" r:id="rId1"/>
  <headerFooter alignWithMargins="0">
    <oddFooter>&amp;L&amp;"Calibri,Bold"CITIZEN'S GUIDE TO LOCAL UNIT FINANCES&amp;R&amp;"Calibri,Bold"&amp;A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Data Input</vt:lpstr>
      <vt:lpstr>Revenues</vt:lpstr>
      <vt:lpstr>Expenditures</vt:lpstr>
      <vt:lpstr>Position</vt:lpstr>
      <vt:lpstr>Obligations</vt:lpstr>
      <vt:lpstr>F-65 Cross-walk</vt:lpstr>
      <vt:lpstr>'Data Input'!Print_Area</vt:lpstr>
      <vt:lpstr>Expenditures!Print_Area</vt:lpstr>
      <vt:lpstr>'F-65 Cross-walk'!Print_Area</vt:lpstr>
      <vt:lpstr>Obligations!Print_Area</vt:lpstr>
      <vt:lpstr>Position!Print_Area</vt:lpstr>
      <vt:lpstr>Revenues!Print_Area</vt:lpstr>
      <vt:lpstr>'Data Input'!Print_Titles</vt:lpstr>
      <vt:lpstr>'F-65 Cross-walk'!Print_Titles</vt:lpstr>
    </vt:vector>
  </TitlesOfParts>
  <Company>Plante &amp; Moran, PLLC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Lappi</dc:creator>
  <cp:lastModifiedBy>Matthew VanPortfliet</cp:lastModifiedBy>
  <cp:lastPrinted>2016-10-25T14:52:14Z</cp:lastPrinted>
  <dcterms:created xsi:type="dcterms:W3CDTF">2011-01-04T15:16:36Z</dcterms:created>
  <dcterms:modified xsi:type="dcterms:W3CDTF">2016-10-25T20:53:23Z</dcterms:modified>
</cp:coreProperties>
</file>